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653" activeTab="0"/>
  </bookViews>
  <sheets>
    <sheet name="Príjmy 2010" sheetId="1" r:id="rId1"/>
    <sheet name="Výdavky 2010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SUM 2010" sheetId="15" r:id="rId15"/>
  </sheets>
  <definedNames>
    <definedName name="Excel_BuiltIn_Print_Titles_1_1">'Príjmy 2010'!$A$1:$IO$1</definedName>
    <definedName name="Excel_BuiltIn_Print_Titles_1_1_1">'Príjmy 2010'!$A$1:$IN$1</definedName>
    <definedName name="Excel_BuiltIn_Print_Titles_1_1_1_1">'Príjmy 2010'!$A$1:$IL$1</definedName>
    <definedName name="Excel_BuiltIn_Print_Titles_2_1">'Výdavky 2010'!$A$1:$ID$1</definedName>
    <definedName name="Excel_BuiltIn_Print_Titles_2_1_1">'Výdavky 2010'!$A$1:$IB$1</definedName>
    <definedName name="Excel_BuiltIn_Print_Titles_2_1_1_1">'Výdavky 2010'!$A$1:$HZ$1</definedName>
    <definedName name="_xlnm.Print_Titles" localSheetId="13">'P12'!$2:$8</definedName>
    <definedName name="_xlnm.Print_Titles" localSheetId="3">'P2'!$2:$8</definedName>
    <definedName name="_xlnm.Print_Titles" localSheetId="0">'Príjmy 2010'!$1:$1</definedName>
    <definedName name="_xlnm.Print_Titles" localSheetId="1">'Výdavky 2010'!$1:$1</definedName>
    <definedName name="_xlnm.Print_Area" localSheetId="2">'P1'!$B$1:$X$28</definedName>
    <definedName name="_xlnm.Print_Area" localSheetId="11">'P10'!$A$3:$V$20</definedName>
    <definedName name="_xlnm.Print_Area" localSheetId="12">'P11'!$A$2:$V$36</definedName>
    <definedName name="_xlnm.Print_Area" localSheetId="3">'P2'!$A$2:$W$56</definedName>
    <definedName name="_xlnm.Print_Area" localSheetId="4">'P3'!$A$4:$X$25</definedName>
    <definedName name="_xlnm.Print_Area" localSheetId="5">'P4'!$A$2:$W$20</definedName>
    <definedName name="_xlnm.Print_Area" localSheetId="6">'P5'!$A$2:$W$14</definedName>
    <definedName name="_xlnm.Print_Area" localSheetId="7">'P6'!$A$2:$V$12</definedName>
    <definedName name="_xlnm.Print_Area" localSheetId="8">'P7'!$A$2:$W$17</definedName>
    <definedName name="_xlnm.Print_Area" localSheetId="9">'P8'!$A$2:$W$41</definedName>
    <definedName name="_xlnm.Print_Area" localSheetId="10">'P9'!$A$3:$V$38</definedName>
    <definedName name="_xlnm.Print_Area" localSheetId="14">'SUM 2010'!$B$3:$F$50</definedName>
    <definedName name="_xlnm.Print_Area" localSheetId="1">'Výdavky 2010'!$A$1:$I$181</definedName>
  </definedNames>
  <calcPr fullCalcOnLoad="1"/>
</workbook>
</file>

<file path=xl/comments10.xml><?xml version="1.0" encoding="utf-8"?>
<comments xmlns="http://schemas.openxmlformats.org/spreadsheetml/2006/main">
  <authors>
    <author>vlcinov</author>
  </authors>
  <commentList>
    <comment ref="F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vlcinov</author>
  </authors>
  <commentList>
    <comment ref="G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vlcinov</author>
  </authors>
  <commentList>
    <comment ref="H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vlcinov</author>
  </authors>
  <commentList>
    <comment ref="H3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vlcinov</author>
  </authors>
  <commentList>
    <comment ref="H3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vlcinov</author>
  </authors>
  <commentList>
    <comment ref="I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vlcinov</author>
  </authors>
  <commentList>
    <comment ref="H3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5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vlcinov</author>
  </authors>
  <commentList>
    <comment ref="I18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vlcinov</author>
  </authors>
  <commentList>
    <comment ref="F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vlcinov</author>
  </authors>
  <commentList>
    <comment ref="H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vlcinov</author>
  </authors>
  <commentList>
    <comment ref="I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vlcinov</author>
  </authors>
  <commentList>
    <comment ref="H12" authorId="0">
      <text>
        <r>
          <rPr>
            <b/>
            <sz val="9"/>
            <rFont val="Tahoma"/>
            <family val="2"/>
          </rPr>
          <t>vlcinov: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<sst xmlns="http://schemas.openxmlformats.org/spreadsheetml/2006/main" count="1078" uniqueCount="593">
  <si>
    <t>08.2.0.9.</t>
  </si>
  <si>
    <t>Ostatné kultúrne služby</t>
  </si>
  <si>
    <t>Podporná činnosť - správa obce</t>
  </si>
  <si>
    <t>01.7.0.</t>
  </si>
  <si>
    <t>Splácanie úrokov a platby súvisiace s úvermi</t>
  </si>
  <si>
    <t>Finančná a rozpočtová oblasť</t>
  </si>
  <si>
    <t>Transakcie verejného dlhu</t>
  </si>
  <si>
    <t>Dávky sociálnej pomoci</t>
  </si>
  <si>
    <t>10.2.0.2.</t>
  </si>
  <si>
    <t>05.1.0.</t>
  </si>
  <si>
    <t>Nakladanie s odpadmi</t>
  </si>
  <si>
    <t>Materiál</t>
  </si>
  <si>
    <r>
      <t xml:space="preserve">Obce,   </t>
    </r>
    <r>
      <rPr>
        <sz val="9"/>
        <rFont val="Arial CE"/>
        <family val="2"/>
      </rPr>
      <t>z toho:</t>
    </r>
  </si>
  <si>
    <t>01.1.2.</t>
  </si>
  <si>
    <t>Kultúrne služby - ZPOZ</t>
  </si>
  <si>
    <t>Výsledok hospodárenia</t>
  </si>
  <si>
    <t>Stravovanie</t>
  </si>
  <si>
    <t>Sociálny fond</t>
  </si>
  <si>
    <t>Poistenie majetku mesta</t>
  </si>
  <si>
    <t>VÝDAVKY SPOLU (bežné + kapitálové):</t>
  </si>
  <si>
    <t>ukazovateľ</t>
  </si>
  <si>
    <t>1</t>
  </si>
  <si>
    <t>2</t>
  </si>
  <si>
    <t>3</t>
  </si>
  <si>
    <t>4</t>
  </si>
  <si>
    <t>Obce</t>
  </si>
  <si>
    <t>Ďalšie sociálne služby-rodina a deti</t>
  </si>
  <si>
    <t>funkčná</t>
  </si>
  <si>
    <t>ekonomická klasifikácia</t>
  </si>
  <si>
    <t>Kapitálové výdavky</t>
  </si>
  <si>
    <t>Bežné výdavky</t>
  </si>
  <si>
    <t>Rozpočet</t>
  </si>
  <si>
    <t>Reprezentačné a dary</t>
  </si>
  <si>
    <t>Členské príspevky</t>
  </si>
  <si>
    <t xml:space="preserve">Poistenie </t>
  </si>
  <si>
    <t>Poplatky a odvody - súdne poplatky</t>
  </si>
  <si>
    <t>Štúdie, posudky, expertízy</t>
  </si>
  <si>
    <t>Propagácia, reklama</t>
  </si>
  <si>
    <t>Vývoz odpadu</t>
  </si>
  <si>
    <t>Odmeny sobášiacim</t>
  </si>
  <si>
    <t>Softvér</t>
  </si>
  <si>
    <t>Zabezpečenie činnosti DHZ mesta - dotácie</t>
  </si>
  <si>
    <t>Odmeny pre poslancov</t>
  </si>
  <si>
    <t>Vzdelávanie zamestnancov Mestského úradu</t>
  </si>
  <si>
    <t>Palivo</t>
  </si>
  <si>
    <t>Servis, údržba vozidiel, karty, známky, prac.odevy</t>
  </si>
  <si>
    <t>Telekomunikačná technika</t>
  </si>
  <si>
    <t>Údržba výpočtovej techniky</t>
  </si>
  <si>
    <t>Stavebná údržba MK</t>
  </si>
  <si>
    <t xml:space="preserve">na rok </t>
  </si>
  <si>
    <t>Kapitálové príjmy</t>
  </si>
  <si>
    <t>GRANTY A TRANSFERY</t>
  </si>
  <si>
    <t>Bežný rozpočet, kapitálový rozpočet - sumarizácia</t>
  </si>
  <si>
    <t>Bežné príjmy spolu:</t>
  </si>
  <si>
    <t>Bežné výdavky spolu: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</si>
  <si>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</si>
  <si>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</si>
  <si>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</si>
  <si>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</si>
  <si>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</si>
  <si>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Správa a údržba pozemných komunikácií</t>
  </si>
  <si>
    <t xml:space="preserve">   z toho: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</si>
  <si>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</si>
  <si>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</si>
  <si>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</si>
  <si>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</si>
  <si>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</si>
  <si>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Výkon funkcie primátora</t>
  </si>
  <si>
    <t>Zasadnutia orgánov mesta</t>
  </si>
  <si>
    <t>Mestský informačný systém</t>
  </si>
  <si>
    <t>Autodoprava</t>
  </si>
  <si>
    <t>01.1.1.6.</t>
  </si>
  <si>
    <t>03.1.0.</t>
  </si>
  <si>
    <t>03.2.0.</t>
  </si>
  <si>
    <t>Ochrana pred požiarmi</t>
  </si>
  <si>
    <t xml:space="preserve">Hospodárska správa a evidencia nehnuteľného </t>
  </si>
  <si>
    <t>Kolkové známky</t>
  </si>
  <si>
    <t>08.1.0.</t>
  </si>
  <si>
    <t>Verejné osvetlenie</t>
  </si>
  <si>
    <t>Dávky sociálnej pomoci - pomoc občanom</t>
  </si>
  <si>
    <t>v hmotnej núdzi</t>
  </si>
  <si>
    <t>Kluby dôchodcov</t>
  </si>
  <si>
    <t>Opatrovateľská služba v byte občana</t>
  </si>
  <si>
    <t>Rodinná politika</t>
  </si>
  <si>
    <t>PROGRAM 1:  PLÁNOVANIE, MANAŽMENT A KONTROLA</t>
  </si>
  <si>
    <t>Členstvo v samosprávnych org.a združeniach</t>
  </si>
  <si>
    <t>Územné plánovanie a architektonicko-urba-</t>
  </si>
  <si>
    <t>nistické zámery a štúdie</t>
  </si>
  <si>
    <t>mesta navonok</t>
  </si>
  <si>
    <t>Organizácia občianskych obradov</t>
  </si>
  <si>
    <t>Zvoz a odvoz odpadu</t>
  </si>
  <si>
    <t>Mestská hromadná doprava</t>
  </si>
  <si>
    <t>Materské školy</t>
  </si>
  <si>
    <t>Základné školy</t>
  </si>
  <si>
    <t>Vzdelávacie aktivity voľno-časové</t>
  </si>
  <si>
    <t>Školské jedálne</t>
  </si>
  <si>
    <t>Mzdy, platy a ostatné osobné vyrovnania</t>
  </si>
  <si>
    <t>Poistné a príspevky do poisťovní</t>
  </si>
  <si>
    <t>Prevádzka a údržba budov</t>
  </si>
  <si>
    <t>08.4.0.</t>
  </si>
  <si>
    <t>Verejný poriadok a bezpečnosť</t>
  </si>
  <si>
    <r>
      <t xml:space="preserve">Mestská polícia,  </t>
    </r>
    <r>
      <rPr>
        <sz val="8"/>
        <rFont val="Arial CE"/>
        <family val="2"/>
      </rPr>
      <t xml:space="preserve">   z toho:</t>
    </r>
  </si>
  <si>
    <t>04.5.1.</t>
  </si>
  <si>
    <t xml:space="preserve">Cestná doprava </t>
  </si>
  <si>
    <t>Vzdelávanie zamestnancov mesta</t>
  </si>
  <si>
    <t>09.1.1.1.</t>
  </si>
  <si>
    <t>Náboženské a iné spoločenské služby</t>
  </si>
  <si>
    <t>Príprava a implementácia rozvojových projektov</t>
  </si>
  <si>
    <t>04.4.3.</t>
  </si>
  <si>
    <t xml:space="preserve">Rozpočet </t>
  </si>
  <si>
    <t>Výstavba</t>
  </si>
  <si>
    <t>Právne služby mestu  - zastupovanie</t>
  </si>
  <si>
    <t>Školské zariadenia mesta Svidník</t>
  </si>
  <si>
    <t>Kvety, darčeky, občerstvenie</t>
  </si>
  <si>
    <t>Ošatné</t>
  </si>
  <si>
    <t>dohody ZPOZ</t>
  </si>
  <si>
    <t>Organizácia kultúrnych podujatí</t>
  </si>
  <si>
    <t>Dni Svidníka</t>
  </si>
  <si>
    <t>ECHO našich slávností</t>
  </si>
  <si>
    <t>Children´s Eurostar</t>
  </si>
  <si>
    <t>Oslavy sviatku práce</t>
  </si>
  <si>
    <t>Oslobodenie mesta</t>
  </si>
  <si>
    <t>dom kultúry</t>
  </si>
  <si>
    <t>energie</t>
  </si>
  <si>
    <t>vodné stočné</t>
  </si>
  <si>
    <t>odmeny na základe dohôd</t>
  </si>
  <si>
    <t>všeobecný materiál</t>
  </si>
  <si>
    <t>palivo</t>
  </si>
  <si>
    <t>prídel do soc. Fondu</t>
  </si>
  <si>
    <t>Šport</t>
  </si>
  <si>
    <t>Dukelský beh mieru</t>
  </si>
  <si>
    <t>Športové podujatia</t>
  </si>
  <si>
    <t>PROGRAM 9:  KULTÚRA a šport</t>
  </si>
  <si>
    <t>MŠ Ul. Ľ. Štúra</t>
  </si>
  <si>
    <t>MŠ Ul. 8. mája</t>
  </si>
  <si>
    <t>MŠ Ul. gen. Svobodu</t>
  </si>
  <si>
    <t xml:space="preserve">Základná umelecká škola </t>
  </si>
  <si>
    <t>Školské kluby detí</t>
  </si>
  <si>
    <t>ŠKD ZŠ Komenského</t>
  </si>
  <si>
    <t>ŠKD ZŠ 8. mája</t>
  </si>
  <si>
    <t>ŠKD ZŠ Karpatská</t>
  </si>
  <si>
    <t>Školské strediská záujmovej činnosti</t>
  </si>
  <si>
    <t>ŠSZČ ZŠ Komenského</t>
  </si>
  <si>
    <t>ŠSZČ ZŠ 8. mája</t>
  </si>
  <si>
    <t>ŠSZČ ZŠ Karpatská</t>
  </si>
  <si>
    <t>ŠJ ZŠ Komenského</t>
  </si>
  <si>
    <t>ŠJ ZŠ 8. mája</t>
  </si>
  <si>
    <t>ŠJ ZŠ Karpatská</t>
  </si>
  <si>
    <t>Školy - školské jedálne</t>
  </si>
  <si>
    <t>Bazén</t>
  </si>
  <si>
    <t>ZŠ Ul. Komenského</t>
  </si>
  <si>
    <t xml:space="preserve">ZŠ Ul. 8. mája    </t>
  </si>
  <si>
    <t>ZŠ Ul. karpatská</t>
  </si>
  <si>
    <t>PROGRAM 8:  VZDELÁVANIE</t>
  </si>
  <si>
    <t>Karty, známky</t>
  </si>
  <si>
    <t>Prac. odevy</t>
  </si>
  <si>
    <t xml:space="preserve">06.4.0. </t>
  </si>
  <si>
    <t>Údržba verejného a slávnost. osvetlenia</t>
  </si>
  <si>
    <t>PROGRAM 2  INTERNÉ  SLUŽBY  MESTA</t>
  </si>
  <si>
    <t>PROGRAM 7: POZEMNÉ  KOMUNIKÁCIE</t>
  </si>
  <si>
    <t>PROGRAM 6:  DOPRAVA</t>
  </si>
  <si>
    <t>PROGRAM 3:  SLUŽBY  OBČANOM</t>
  </si>
  <si>
    <t>PROGRAM 4:  BEZPEČNOSŤ, PRÁVO  A  PORIADOK</t>
  </si>
  <si>
    <t>PROGRAM 5:  ODPADOVÉ  HOSPODÁRSTVO</t>
  </si>
  <si>
    <t>PROGRAM 10:  BÝVANIE</t>
  </si>
  <si>
    <t>Inž. siete pre IBV nad SPP</t>
  </si>
  <si>
    <t>PROGRAM 11:  SOCIÁLNE  SLUŽBY</t>
  </si>
  <si>
    <t>Odvod do soc. fondu</t>
  </si>
  <si>
    <t>Energia</t>
  </si>
  <si>
    <t>Dopravné</t>
  </si>
  <si>
    <t>Technické služby mesta</t>
  </si>
  <si>
    <t>05. 1.0</t>
  </si>
  <si>
    <t xml:space="preserve"> - prevádzka objektov AB</t>
  </si>
  <si>
    <t xml:space="preserve"> - prevádzka objektov MH</t>
  </si>
  <si>
    <t>Príspevok občanom</t>
  </si>
  <si>
    <t>Príspevok na stravu dôchodcom</t>
  </si>
  <si>
    <t>Osobitný príjemca</t>
  </si>
  <si>
    <t>Kuratela</t>
  </si>
  <si>
    <t>Náhrady (RP)</t>
  </si>
  <si>
    <t>Dotácia na stravu pre deti v HN v MŠ</t>
  </si>
  <si>
    <t xml:space="preserve">Mzdy, platy, sl. príjmy a ost. os. vyr. </t>
  </si>
  <si>
    <t>Poistné do poisťovní</t>
  </si>
  <si>
    <t>Prídel do sociálneho fondu</t>
  </si>
  <si>
    <t>Stravovanie opatrovateľov</t>
  </si>
  <si>
    <t>Mzdy , platy a ostatné osobné vyrovnania TSP</t>
  </si>
  <si>
    <t>KLASIFIKÁCIA PRÍJMOV</t>
  </si>
  <si>
    <t>DAŇOVÉ PRÍJMY</t>
  </si>
  <si>
    <t xml:space="preserve"> Daň z príjmov</t>
  </si>
  <si>
    <t>111 003</t>
  </si>
  <si>
    <t xml:space="preserve">Daň z príjmov fyzických osôb </t>
  </si>
  <si>
    <t>Daň z majetku</t>
  </si>
  <si>
    <t>Daň z nehnuteľností</t>
  </si>
  <si>
    <t>Dane za špecifické služby</t>
  </si>
  <si>
    <t>133 001</t>
  </si>
  <si>
    <t>Za psa</t>
  </si>
  <si>
    <t>133 003</t>
  </si>
  <si>
    <t>Za nevýherné  hracie prístroje</t>
  </si>
  <si>
    <t>133 004</t>
  </si>
  <si>
    <t>Za predajné automaty</t>
  </si>
  <si>
    <t>133 006</t>
  </si>
  <si>
    <t>Za ubytovanie</t>
  </si>
  <si>
    <t>133 012</t>
  </si>
  <si>
    <t xml:space="preserve">Za užívanie verejného priestranstva </t>
  </si>
  <si>
    <t>133 013</t>
  </si>
  <si>
    <t>Za zber, odvoz, zneškodň. kom. odpadu</t>
  </si>
  <si>
    <t>NEDAŇOVÉ PRÍJMY</t>
  </si>
  <si>
    <t>Príjmy z vlastníctva</t>
  </si>
  <si>
    <t>212 002</t>
  </si>
  <si>
    <t>Z prenajatých pozemkov</t>
  </si>
  <si>
    <t>212 003</t>
  </si>
  <si>
    <t>Z prenajatých budov</t>
  </si>
  <si>
    <t xml:space="preserve">Administratívne poplatky </t>
  </si>
  <si>
    <t>221 004</t>
  </si>
  <si>
    <t>Ostatné - správne poplatky</t>
  </si>
  <si>
    <t>Pokuty a penále</t>
  </si>
  <si>
    <t>222 003</t>
  </si>
  <si>
    <t>V blokovom  konaní</t>
  </si>
  <si>
    <t xml:space="preserve">Poplatky a platby z predaja nepriemys. a náhodného predaja    </t>
  </si>
  <si>
    <t>223 001</t>
  </si>
  <si>
    <t>Za predaj výrobkov, tovarov a služieb</t>
  </si>
  <si>
    <t>223 002</t>
  </si>
  <si>
    <t>Za jasle, materské školy a školské družiny</t>
  </si>
  <si>
    <t>Ďalšie adm. a iné poplatky a platby</t>
  </si>
  <si>
    <t>229 005</t>
  </si>
  <si>
    <t>Za znečisťovanie ovzdušia</t>
  </si>
  <si>
    <t>Úroky z tuzem. úver. pôžičiek a vkl.</t>
  </si>
  <si>
    <t>Z vkladov</t>
  </si>
  <si>
    <t>Ostatné  príjmy</t>
  </si>
  <si>
    <t>Z výťažkov z lotérií a iných hier</t>
  </si>
  <si>
    <t>Granty</t>
  </si>
  <si>
    <t>Transfery na rôznej úrovni</t>
  </si>
  <si>
    <t>312 001</t>
  </si>
  <si>
    <t>Zo štátneho rozpočtu: z toho</t>
  </si>
  <si>
    <t>Na výstavbu</t>
  </si>
  <si>
    <t xml:space="preserve">Na matričnú činnosť </t>
  </si>
  <si>
    <t>Na regionálny rozvoj</t>
  </si>
  <si>
    <t>Na registráciu občanov mesta</t>
  </si>
  <si>
    <t>Na školský úrad</t>
  </si>
  <si>
    <t>Na rodinné prídavky</t>
  </si>
  <si>
    <t>Na vojnové hroby</t>
  </si>
  <si>
    <t>Na osobitného príjemcu</t>
  </si>
  <si>
    <t>BEŽNÉ PRÍJMY CELKOM</t>
  </si>
  <si>
    <t xml:space="preserve">                                                                                                                               </t>
  </si>
  <si>
    <t>Príjem z predaja kapitálových aktív</t>
  </si>
  <si>
    <t>233 001</t>
  </si>
  <si>
    <t>Príjmy z predaja pozemkov</t>
  </si>
  <si>
    <t>322 001</t>
  </si>
  <si>
    <t>Finančné operácie</t>
  </si>
  <si>
    <t>Prevod prostriedkov z peňažných fondov</t>
  </si>
  <si>
    <t>ROZPOČET PRÍJMOV CELKOM</t>
  </si>
  <si>
    <t>Špecifické služby</t>
  </si>
  <si>
    <t>Poplatky, odvody, dane a clá</t>
  </si>
  <si>
    <t xml:space="preserve">        Program 2:   Interné služby mesta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</si>
  <si>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</si>
  <si>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</si>
  <si>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</si>
  <si>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Doprava</t>
  </si>
  <si>
    <t xml:space="preserve">        Program 7:   Komunikácie</t>
  </si>
  <si>
    <t xml:space="preserve">        Program 8:   Vzdelávanie</t>
  </si>
  <si>
    <t xml:space="preserve">        Program 9: Kultúra a šport</t>
  </si>
  <si>
    <t xml:space="preserve">        Program 10: Bývanie</t>
  </si>
  <si>
    <t xml:space="preserve">        Program 11: Sociálne služby</t>
  </si>
  <si>
    <t xml:space="preserve">        Program 12: Podporná činnosť</t>
  </si>
  <si>
    <t xml:space="preserve">        Program 7:   POZEMNÉ  KOMUNIKÁCIE</t>
  </si>
  <si>
    <t>Splácanie finančného prenájmu</t>
  </si>
  <si>
    <t>Splácanie tuzemskej istiny</t>
  </si>
  <si>
    <t>01.3.3.</t>
  </si>
  <si>
    <t>INÉ VŠEOB.SLUŽBY(Matrika)</t>
  </si>
  <si>
    <t>Mzdy,platy,sl.príjmy a ostatné osobné vyrov.</t>
  </si>
  <si>
    <t>Tovary a ďalšie služby</t>
  </si>
  <si>
    <t>PROGRAM 12:  PODPORNÁ  ČINNOSŤ - SPRÁVA OBCE</t>
  </si>
  <si>
    <t>ROZVOJ   OBCE</t>
  </si>
  <si>
    <t>Mzdy, platy –VPP, aktivačná činnosť</t>
  </si>
  <si>
    <t>Odvody</t>
  </si>
  <si>
    <t>Všeobecný materiál</t>
  </si>
  <si>
    <t>Pracovné odevy, obuv a pracovné pomôcky</t>
  </si>
  <si>
    <t>Poistné</t>
  </si>
  <si>
    <t>Na nemocenské dávky</t>
  </si>
  <si>
    <t>Príspevok občian. združ. a nadác.</t>
  </si>
  <si>
    <t>Cirkvi, náboženskej spoloč. a cir. charite</t>
  </si>
  <si>
    <t>Ostatné org.</t>
  </si>
  <si>
    <t>ŠKOLSKÝ ÚRAD</t>
  </si>
  <si>
    <t>Prenesené kompetencie</t>
  </si>
  <si>
    <t>Na odchodné</t>
  </si>
  <si>
    <t>Jednotlivcom</t>
  </si>
  <si>
    <t>majetku mesta - nebytové priestory a pozemky</t>
  </si>
  <si>
    <t>Reprezentačne poslanci</t>
  </si>
  <si>
    <t xml:space="preserve">Konkurzy  a súťaže </t>
  </si>
  <si>
    <t>Odmeny a príspevky</t>
  </si>
  <si>
    <t>Interiérové vybavenie</t>
  </si>
  <si>
    <t>Špeciálny materiál</t>
  </si>
  <si>
    <t>Knihy, časopisy, noviny</t>
  </si>
  <si>
    <t>Pracovné odevy, obuv</t>
  </si>
  <si>
    <t>Telekomunikačnej techniky</t>
  </si>
  <si>
    <t>Prevádzkové stroje, prístroje-materiál</t>
  </si>
  <si>
    <t>Prevádzkové stroje, prístroje-údržba</t>
  </si>
  <si>
    <t>Odmeny pracovníkov mimopracovného pomeru</t>
  </si>
  <si>
    <t>08.2.0.3.</t>
  </si>
  <si>
    <t>06.4.0.</t>
  </si>
  <si>
    <t>10.7.0.</t>
  </si>
  <si>
    <t>01.1.1.6</t>
  </si>
  <si>
    <t>10.4.0.</t>
  </si>
  <si>
    <t>ODD.</t>
  </si>
  <si>
    <t>SKUP. TRIEDA</t>
  </si>
  <si>
    <t>KLASIFIKÁCIA VÝDAVKOV</t>
  </si>
  <si>
    <t>Všeobecné verejné služby</t>
  </si>
  <si>
    <t xml:space="preserve">Výdavky verejnej správy </t>
  </si>
  <si>
    <t>Mzdy, plát. služ. príjmy a ost. osob. vyrovnania</t>
  </si>
  <si>
    <t>Poistne do poisťovni</t>
  </si>
  <si>
    <t>Tovary a služby</t>
  </si>
  <si>
    <t>631 001</t>
  </si>
  <si>
    <t xml:space="preserve">Cestovné náhrady </t>
  </si>
  <si>
    <t>Energia, voda a komunikácia</t>
  </si>
  <si>
    <t>632 002</t>
  </si>
  <si>
    <t>Vodné, stočné</t>
  </si>
  <si>
    <t>632 003</t>
  </si>
  <si>
    <t>Poštové a telekomunikačné služby</t>
  </si>
  <si>
    <t xml:space="preserve">Materiál </t>
  </si>
  <si>
    <t>633 001</t>
  </si>
  <si>
    <t>633 002</t>
  </si>
  <si>
    <t>Výpočtová technika</t>
  </si>
  <si>
    <t>633 003</t>
  </si>
  <si>
    <t>633 004</t>
  </si>
  <si>
    <t>Prevádzkové stroje, prístroje a náradie</t>
  </si>
  <si>
    <t>633 006</t>
  </si>
  <si>
    <t>633 007</t>
  </si>
  <si>
    <t>633 009</t>
  </si>
  <si>
    <t>633 010</t>
  </si>
  <si>
    <t>633 013</t>
  </si>
  <si>
    <t>Softvér a licencie</t>
  </si>
  <si>
    <t xml:space="preserve">Reprezentačné </t>
  </si>
  <si>
    <t>DOPRAVNÉ</t>
  </si>
  <si>
    <t>634 001</t>
  </si>
  <si>
    <t xml:space="preserve">Palivo, maziva, oleje </t>
  </si>
  <si>
    <t>634 002</t>
  </si>
  <si>
    <t>Servis údržba opravy</t>
  </si>
  <si>
    <t>634 003</t>
  </si>
  <si>
    <t>Poistenie</t>
  </si>
  <si>
    <t>634 005</t>
  </si>
  <si>
    <t>Karty,  známky, poplatky</t>
  </si>
  <si>
    <t>Pracovné odevy</t>
  </si>
  <si>
    <t>635 002</t>
  </si>
  <si>
    <t>Výpočtovej techniky</t>
  </si>
  <si>
    <t>635 003</t>
  </si>
  <si>
    <t>635 004</t>
  </si>
  <si>
    <t>Prevádzkových strojov, prístrojov</t>
  </si>
  <si>
    <t>635 006</t>
  </si>
  <si>
    <t>Budov, priestorov a objektov</t>
  </si>
  <si>
    <t>NÁJOMNÉ  ZA  PRENÁJOM</t>
  </si>
  <si>
    <t xml:space="preserve"> </t>
  </si>
  <si>
    <t>636 001</t>
  </si>
  <si>
    <t>636 002</t>
  </si>
  <si>
    <t>Prevádzkových strojov, prístrojov a náradia</t>
  </si>
  <si>
    <t>SLUŽBY</t>
  </si>
  <si>
    <t>637 001</t>
  </si>
  <si>
    <t>Školenia, kurzy, porady</t>
  </si>
  <si>
    <t>637 002</t>
  </si>
  <si>
    <t>637 003</t>
  </si>
  <si>
    <t>Propagácia, reklama a inzercia</t>
  </si>
  <si>
    <t>637 004</t>
  </si>
  <si>
    <t>Všeobecné služby</t>
  </si>
  <si>
    <t>637 005</t>
  </si>
  <si>
    <t>637 006</t>
  </si>
  <si>
    <t>Náhrady</t>
  </si>
  <si>
    <t>637 011</t>
  </si>
  <si>
    <t>Štúdie, posudky</t>
  </si>
  <si>
    <t>637 012</t>
  </si>
  <si>
    <t>637 014</t>
  </si>
  <si>
    <t>637 015</t>
  </si>
  <si>
    <t>637 016</t>
  </si>
  <si>
    <t>637 026</t>
  </si>
  <si>
    <t>637 027</t>
  </si>
  <si>
    <t>BEŽNÉ TRANSFERY</t>
  </si>
  <si>
    <t>642 014</t>
  </si>
  <si>
    <t>642 015</t>
  </si>
  <si>
    <t>SPLÁCANIE ÚROKOV</t>
  </si>
  <si>
    <t>651 002</t>
  </si>
  <si>
    <t>Bankám</t>
  </si>
  <si>
    <t>01. 1.2</t>
  </si>
  <si>
    <t>Verejný poriadok  -Mest. Polícia</t>
  </si>
  <si>
    <t xml:space="preserve">Mzdy, platy, služobné príjmy </t>
  </si>
  <si>
    <t>Prídel do soc. fondu</t>
  </si>
  <si>
    <t xml:space="preserve">Energia </t>
  </si>
  <si>
    <t>642 001</t>
  </si>
  <si>
    <t>Transfer - DPO</t>
  </si>
  <si>
    <t>VÝSTAVBA</t>
  </si>
  <si>
    <t>Špeciálne služby</t>
  </si>
  <si>
    <t>Štúdie,expertízy, posudky</t>
  </si>
  <si>
    <t>EKONOMICKÁ OBLASŤ</t>
  </si>
  <si>
    <t>Oprava budov priestorov a objektov</t>
  </si>
  <si>
    <t xml:space="preserve">641 001 </t>
  </si>
  <si>
    <t>Transfer príspevkovej organizácií – TS</t>
  </si>
  <si>
    <t>641 006</t>
  </si>
  <si>
    <t>Príspevok na MHD</t>
  </si>
  <si>
    <t>VEREJNÉ OSVETLENIE</t>
  </si>
  <si>
    <t>632 001</t>
  </si>
  <si>
    <t>Energia – Verejné osvetlenie</t>
  </si>
  <si>
    <t>REKREÁCIE, KULTÚRA</t>
  </si>
  <si>
    <t>Mzdy,platy,sl.príjmy a ost. osobné vyrovnania</t>
  </si>
  <si>
    <t>Poštovné telekomunikačné služby</t>
  </si>
  <si>
    <t>Konkurzy  a súťaže</t>
  </si>
  <si>
    <t xml:space="preserve">Odmena na základe dohôd </t>
  </si>
  <si>
    <t>Príspevok občian. združ. a nadác. z toho:</t>
  </si>
  <si>
    <t>Klub dôchodcov</t>
  </si>
  <si>
    <t>642 006</t>
  </si>
  <si>
    <t>Nefinanč. právnickým  osobám  /ZMOS /</t>
  </si>
  <si>
    <t>Ostatné</t>
  </si>
  <si>
    <t>642 007</t>
  </si>
  <si>
    <t>VZDELANIE – ŠKOLSTVO</t>
  </si>
  <si>
    <t>Prenesené kompetencie: ZŠ</t>
  </si>
  <si>
    <t>Mzdy, platy, sl. príjmy a ost. osobné vyrovnania</t>
  </si>
  <si>
    <t>Bežné transfery</t>
  </si>
  <si>
    <t>Originálne kompetencie: ZUŠ,MŠ,ŠJ,ŠK</t>
  </si>
  <si>
    <t xml:space="preserve">Mzdy, platy, sl. príjmy a ost. osobné vyrovn. </t>
  </si>
  <si>
    <t>Mzdy,platy,sl.príjmy a ost. osobné vyrovnanie</t>
  </si>
  <si>
    <t>SOCIÁLNE ZABEZ. -opatrovateľská služba</t>
  </si>
  <si>
    <t>10.2.0.</t>
  </si>
  <si>
    <t>Príspevok na stravu dôchodcov</t>
  </si>
  <si>
    <t>Stravovanie –opatrovateľky</t>
  </si>
  <si>
    <t>Na nemocenské poistenie</t>
  </si>
  <si>
    <t>642 026</t>
  </si>
  <si>
    <t>Na dávky sociálnej pomoci</t>
  </si>
  <si>
    <t>Sociálna kuratela</t>
  </si>
  <si>
    <t>Mzdy,platy, sl.príjmy a ost. osobné vyrovnania</t>
  </si>
  <si>
    <t>BEŽNÉ VÝDAVKY CELKOM</t>
  </si>
  <si>
    <t>Prípravná projektová dokumentácia</t>
  </si>
  <si>
    <t>717 001</t>
  </si>
  <si>
    <t>Realizácia nových stavieb</t>
  </si>
  <si>
    <t>717 002</t>
  </si>
  <si>
    <t>821 005</t>
  </si>
  <si>
    <t>Splácanie tuzemskej istiny: z toho</t>
  </si>
  <si>
    <t>-Pešia zóna</t>
  </si>
  <si>
    <t>-Káblová televízia</t>
  </si>
  <si>
    <t>-48 bytová jednotka</t>
  </si>
  <si>
    <t>-Svidník nájomné byty 33 b.j</t>
  </si>
  <si>
    <t>-BD malometr. byty-Nábrežná</t>
  </si>
  <si>
    <t>-Mestské kotolne</t>
  </si>
  <si>
    <t>Splácanie finančného prenájmu: z toho</t>
  </si>
  <si>
    <t>ROZPOČET VÝDAVKOV CELKOM</t>
  </si>
  <si>
    <t xml:space="preserve">Prevádzka kultúrnych zariadení </t>
  </si>
  <si>
    <t xml:space="preserve">Bývanie a občianska vybavenosť </t>
  </si>
  <si>
    <t>Cestovné náhrady</t>
  </si>
  <si>
    <t>Dotácia na školské potreby</t>
  </si>
  <si>
    <t>PROGRAM 9:     Kultúra a šport</t>
  </si>
  <si>
    <t>PROGRAM 10:     Bývanie</t>
  </si>
  <si>
    <t>PROGRAM 11:     Sociálne služby</t>
  </si>
  <si>
    <t>PROGRAM 12:     Podporná činnosť</t>
  </si>
  <si>
    <t>PROGRAM 8:     Vzdelávanie</t>
  </si>
  <si>
    <t>PROGRAM 7:     Pozemné komunikácie</t>
  </si>
  <si>
    <t>PROGRAM 6:     Doprava</t>
  </si>
  <si>
    <t>PROGRAM 5:     Odpadové hospodárstvo</t>
  </si>
  <si>
    <t>PROGRAM 4:     Bezpečnosť, právo a poriadok</t>
  </si>
  <si>
    <t>PROGRAM 3:     Služby občanom</t>
  </si>
  <si>
    <t>PROGRAM 2:     Interné služby mesta</t>
  </si>
  <si>
    <t>Dotácia na predškolákov</t>
  </si>
  <si>
    <t>Špeciálne služby - exekučné</t>
  </si>
  <si>
    <t>Mzdy, platy, služobné príjmy a OOV</t>
  </si>
  <si>
    <t>SAD Humenné - úhrada predpokl. straty</t>
  </si>
  <si>
    <t>Mzdy, platy, sl. príjmy a ost. osobné vyrovnanie</t>
  </si>
  <si>
    <t>poplatky, odvody, dane a clá</t>
  </si>
  <si>
    <t>Terénny sociálny pracovníci</t>
  </si>
  <si>
    <t>09.1.2.1.</t>
  </si>
  <si>
    <t>09.5.0.1.</t>
  </si>
  <si>
    <t>09.8.0.2.</t>
  </si>
  <si>
    <t>08.2.0.</t>
  </si>
  <si>
    <t>10.9.0.</t>
  </si>
  <si>
    <t>Sociálne zabezpečenie inde neklasifikované</t>
  </si>
  <si>
    <t xml:space="preserve">Obce </t>
  </si>
  <si>
    <t xml:space="preserve">Zabezpečovanie úkonov spojených s voľbami </t>
  </si>
  <si>
    <t>Odmeny na základe dohôd</t>
  </si>
  <si>
    <t>POLOŽKA</t>
  </si>
  <si>
    <t>RUTINNÁ A ŠTANDARTNÁ ÚDRŽBA</t>
  </si>
  <si>
    <r>
      <t>642 013</t>
    </r>
    <r>
      <rPr>
        <b/>
        <sz val="10"/>
        <rFont val="@Arial Unicode MS"/>
        <family val="2"/>
      </rPr>
      <t xml:space="preserve"> </t>
    </r>
  </si>
  <si>
    <t>Údržba budov, objektov a alebo ich časti</t>
  </si>
  <si>
    <t>OCHRANNA ŽIVOTNÉHO PROSTREDIA</t>
  </si>
  <si>
    <t>Prevádz. stroje,prístroje,zariadenia,tech.a nár.</t>
  </si>
  <si>
    <t>Servis údržba</t>
  </si>
  <si>
    <t>Cirkvi, náboženskej spoloč. a cir.charite</t>
  </si>
  <si>
    <t>SOCIÁLNE ZABEZ.INDE NEKLASIF.</t>
  </si>
  <si>
    <t>HL. KAT.</t>
  </si>
  <si>
    <t>KATEG.</t>
  </si>
  <si>
    <t>PODPOL.</t>
  </si>
  <si>
    <t>Na kamerový systém</t>
  </si>
  <si>
    <t>Zo štátneho rozpočtu-projekty EU</t>
  </si>
  <si>
    <t>Zostatok prostriedkov z predchádz. roka</t>
  </si>
  <si>
    <t>Prijaté úvery,pôžičky a návratné fin.vypom.</t>
  </si>
  <si>
    <t xml:space="preserve">F I N A N Č N É   O P E R Á CI E </t>
  </si>
  <si>
    <t>Na školstvo – prenesené kompetencie</t>
  </si>
  <si>
    <t xml:space="preserve">Na  komunitných pracovníkov          </t>
  </si>
  <si>
    <t xml:space="preserve">Vytvorenie nového prac.miesta/klub dôch./ </t>
  </si>
  <si>
    <t>Vrátky</t>
  </si>
  <si>
    <t>292 008</t>
  </si>
  <si>
    <t>Reprezentačné poslanci</t>
  </si>
  <si>
    <t>Stravovanie – hmotná núdza</t>
  </si>
  <si>
    <t>Na dávku v hmotnej núdzi -osobitný príjemca</t>
  </si>
  <si>
    <t xml:space="preserve">Rekonštrukcia a modernizácia </t>
  </si>
  <si>
    <t>-Auta TS</t>
  </si>
  <si>
    <t>Rozpočet na rok 2010</t>
  </si>
  <si>
    <t>Svidnícke kultúrne leto 2010</t>
  </si>
  <si>
    <t>Údržba budov, objektov(ver. zeleň)</t>
  </si>
  <si>
    <t>Rozpočet 2010</t>
  </si>
  <si>
    <t>budov a priestorov a objektov</t>
  </si>
  <si>
    <t>Parkovisko UTRA</t>
  </si>
  <si>
    <t>Parkovisko Nábrežna</t>
  </si>
  <si>
    <t>Parkovisko pri V2</t>
  </si>
  <si>
    <t>Parkovisko pri B4 - Dukla</t>
  </si>
  <si>
    <t>Chodnik ul. Sov. hrdinov</t>
  </si>
  <si>
    <t>Rekonštrukcia ľadovej plochy</t>
  </si>
  <si>
    <t>Rekonštrukcia a obnova centra mesta</t>
  </si>
  <si>
    <t>18 b.j. blok A nižš. štandardu + TV</t>
  </si>
  <si>
    <t>36 b.j. bloky B a C nižš. štandardu + TV</t>
  </si>
  <si>
    <t>Rekonšrukcia a obnova centra mesta</t>
  </si>
  <si>
    <t>Priemyselný park</t>
  </si>
  <si>
    <t>54 b.j. nižšieho štandardu</t>
  </si>
  <si>
    <t>Trafostanice na odovzdanie</t>
  </si>
  <si>
    <t xml:space="preserve">Technické služby mesta </t>
  </si>
  <si>
    <t>Prispevok na činnosť</t>
  </si>
  <si>
    <t>Zberný dvor - dobudovanie</t>
  </si>
  <si>
    <t>Údržba verejnej zelene - orezanie a výrub</t>
  </si>
  <si>
    <t>Nova výsadzba zelene - stromy a kríky</t>
  </si>
  <si>
    <t>Vodné, stočne, zr. Voda</t>
  </si>
  <si>
    <t>Nájomné za prenájom budov, priestorov a objektov</t>
  </si>
  <si>
    <t>Nájomné za prenájom pr. strojov, prístrojov a náradia</t>
  </si>
  <si>
    <t>Údržba telekomunikačnej techniky</t>
  </si>
  <si>
    <t xml:space="preserve">Dotácia na voľby </t>
  </si>
  <si>
    <t xml:space="preserve">Školstvo-PK špecifika </t>
  </si>
  <si>
    <t>Územnoplánovacie podklady a dokumentácie</t>
  </si>
  <si>
    <t>Asanacia 2x18 b.j.</t>
  </si>
  <si>
    <t>Dotácia na stravu pre deti HN ZŠ a MŠ</t>
  </si>
  <si>
    <t>- blok A 18 b.j. nižšieho štandardu</t>
  </si>
  <si>
    <t>Byty nižšieho štandardu:</t>
  </si>
  <si>
    <t>- z toho blok A 18 b.j. nižšieho štandardu+TV</t>
  </si>
  <si>
    <t>- z toho blok B 18b.j.+blok C 18b.j. niž.štandardu+TV</t>
  </si>
  <si>
    <t>Ľadová plocha</t>
  </si>
  <si>
    <t xml:space="preserve">Materialové vybavenie </t>
  </si>
  <si>
    <t>Cestovné výdavky -voľby</t>
  </si>
  <si>
    <t>VŚEOBECNÉ SLUŹBY INDE NEKL./voľby/</t>
  </si>
  <si>
    <t>Poplatky a odvody -uloženie odpadu</t>
  </si>
  <si>
    <t>Školenie -opatrovatelky</t>
  </si>
  <si>
    <t>Dane</t>
  </si>
  <si>
    <t>06.2.0.</t>
  </si>
  <si>
    <t>Mzdy, platy – aktivačná činnosť</t>
  </si>
  <si>
    <t>7</t>
  </si>
  <si>
    <t>637 018</t>
  </si>
  <si>
    <t>Vrátenie príjmov z minulých rokov</t>
  </si>
  <si>
    <t>Naturálne mzdy</t>
  </si>
  <si>
    <t>Na bežné výdavky</t>
  </si>
  <si>
    <t xml:space="preserve">Na aktivačnú činnosť   </t>
  </si>
  <si>
    <t>Športom za zdravím</t>
  </si>
  <si>
    <t>Rekonštukcia a obnova centra mesta</t>
  </si>
  <si>
    <t>Za prebytočný hnuteľný majetok</t>
  </si>
  <si>
    <t>Rozšírenie verejného osvetlenia</t>
  </si>
  <si>
    <t>Príjmy</t>
  </si>
  <si>
    <t>Výdavky</t>
  </si>
  <si>
    <t>Dofinancovanie rekonštrukcie ZŠ</t>
  </si>
  <si>
    <t>Zmena rozpočtu 2010</t>
  </si>
  <si>
    <t>Schodolez pre imobilného žiaka</t>
  </si>
  <si>
    <t>Poštovné, telek. Služby  (7521893)</t>
  </si>
  <si>
    <t>Plnenie</t>
  </si>
  <si>
    <t>rozpočtu</t>
  </si>
  <si>
    <t>%</t>
  </si>
  <si>
    <t>2010</t>
  </si>
  <si>
    <t>SPOLU</t>
  </si>
  <si>
    <t>Plnenie    rozpočtu</t>
  </si>
  <si>
    <t>Nákladné vozidla, ťahače</t>
  </si>
  <si>
    <t xml:space="preserve">- 54 bytová jednotka   </t>
  </si>
  <si>
    <t>09.6.0.1.</t>
  </si>
  <si>
    <t>Projeková dokumenácia - Penzion</t>
  </si>
  <si>
    <t>5</t>
  </si>
  <si>
    <t>6</t>
  </si>
  <si>
    <t>8</t>
  </si>
  <si>
    <t>Geometr. plány - špecifické služby</t>
  </si>
  <si>
    <t>Čerpanie</t>
  </si>
  <si>
    <t xml:space="preserve">Náhrady z poistného  plnenia       </t>
  </si>
  <si>
    <t>Kultúrne poukazy</t>
  </si>
  <si>
    <t>Zo štátneho účelového fondu</t>
  </si>
  <si>
    <t>Provízia</t>
  </si>
  <si>
    <t>Projektová dokumentácia UPM</t>
  </si>
  <si>
    <t>plnenia</t>
  </si>
  <si>
    <t>- Ľadová plocha</t>
  </si>
  <si>
    <t>10.9.0</t>
  </si>
  <si>
    <t>09.08.0</t>
  </si>
  <si>
    <t>08.2.0</t>
  </si>
  <si>
    <t>06.2.0</t>
  </si>
  <si>
    <t>05.1.0</t>
  </si>
  <si>
    <t>04.5.1</t>
  </si>
  <si>
    <t>04.4.3</t>
  </si>
  <si>
    <t>01.6.00</t>
  </si>
  <si>
    <t>Upravený     rozpočet      2010</t>
  </si>
  <si>
    <t>Prebytok / (-) schodok</t>
  </si>
  <si>
    <t>Náhrada príjmu</t>
  </si>
  <si>
    <t>Na odchodné a odstupné</t>
  </si>
  <si>
    <t>Odchodné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</si>
</sst>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\ &quot;Sk&quot;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8"/>
      <color indexed="8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 CE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b/>
      <i/>
      <sz val="9"/>
      <color indexed="10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5"/>
      <color indexed="12"/>
      <name val="Tahoma"/>
      <family val="2"/>
    </font>
    <font>
      <sz val="10"/>
      <name val="@Arial Unicode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@Arial Unicode MS"/>
      <family val="2"/>
    </font>
    <font>
      <b/>
      <sz val="9"/>
      <name val="@Arial Unicode MS"/>
      <family val="2"/>
    </font>
    <font>
      <sz val="9"/>
      <name val="@Arial Unicode MS"/>
      <family val="2"/>
    </font>
    <font>
      <sz val="9"/>
      <name val="Arial"/>
      <family val="2"/>
    </font>
    <font>
      <sz val="8"/>
      <name val="@Arial Unicode MS"/>
      <family val="2"/>
    </font>
    <font>
      <sz val="9"/>
      <color indexed="8"/>
      <name val="@Arial Unicode MS"/>
      <family val="2"/>
    </font>
    <font>
      <b/>
      <i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i/>
      <sz val="10"/>
      <name val="@Arial Unicode MS"/>
      <family val="2"/>
    </font>
    <font>
      <b/>
      <sz val="10"/>
      <color indexed="8"/>
      <name val="@Arial Unicode MS"/>
      <family val="2"/>
    </font>
    <font>
      <b/>
      <i/>
      <sz val="10"/>
      <name val="Arial"/>
      <family val="2"/>
    </font>
    <font>
      <sz val="9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i/>
      <sz val="10"/>
      <name val="@Arial Unicode MS"/>
      <family val="2"/>
    </font>
    <font>
      <b/>
      <sz val="10"/>
      <color indexed="10"/>
      <name val="@Arial Unicode MS"/>
      <family val="2"/>
    </font>
    <font>
      <sz val="9"/>
      <color indexed="10"/>
      <name val="@Arial Unicode MS"/>
      <family val="2"/>
    </font>
    <font>
      <sz val="9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double"/>
      <bottom style="double"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 style="double"/>
    </border>
    <border>
      <left/>
      <right style="thin"/>
      <top/>
      <bottom style="double"/>
    </border>
    <border>
      <left/>
      <right style="medium"/>
      <top style="medium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/>
      <right/>
      <top style="double"/>
      <bottom style="thin"/>
    </border>
    <border>
      <left style="medium"/>
      <right style="thin"/>
      <top/>
      <bottom style="double"/>
    </border>
    <border>
      <left style="thin"/>
      <right style="medium"/>
      <top style="thin"/>
      <bottom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 style="medium"/>
      <right/>
      <top/>
      <bottom style="thin"/>
    </border>
    <border>
      <left style="medium"/>
      <right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/>
      <top style="medium"/>
      <bottom/>
    </border>
    <border>
      <left/>
      <right style="medium"/>
      <top style="thin"/>
      <bottom style="double"/>
    </border>
    <border>
      <left style="medium"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4" borderId="0" applyNumberFormat="0" applyBorder="0" applyAlignment="0" applyProtection="0"/>
    <xf numFmtId="0" fontId="36" fillId="3" borderId="0" applyNumberFormat="0" applyBorder="0" applyAlignment="0" applyProtection="0"/>
    <xf numFmtId="0" fontId="74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37" borderId="6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7" borderId="9" applyNumberFormat="0" applyAlignment="0" applyProtection="0"/>
    <xf numFmtId="0" fontId="43" fillId="38" borderId="9" applyNumberFormat="0" applyAlignment="0" applyProtection="0"/>
    <xf numFmtId="0" fontId="44" fillId="38" borderId="10" applyNumberFormat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</cellStyleXfs>
  <cellXfs count="1241">
    <xf numFmtId="0" fontId="0" fillId="0" borderId="0" xfId="0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50" borderId="14" xfId="0" applyFont="1" applyFill="1" applyBorder="1" applyAlignment="1">
      <alignment vertical="center"/>
    </xf>
    <xf numFmtId="0" fontId="5" fillId="50" borderId="14" xfId="0" applyFont="1" applyFill="1" applyBorder="1" applyAlignment="1">
      <alignment/>
    </xf>
    <xf numFmtId="49" fontId="7" fillId="51" borderId="11" xfId="0" applyNumberFormat="1" applyFont="1" applyFill="1" applyBorder="1" applyAlignment="1">
      <alignment horizontal="left"/>
    </xf>
    <xf numFmtId="49" fontId="6" fillId="51" borderId="11" xfId="0" applyNumberFormat="1" applyFont="1" applyFill="1" applyBorder="1" applyAlignment="1">
      <alignment horizontal="center"/>
    </xf>
    <xf numFmtId="0" fontId="2" fillId="52" borderId="15" xfId="0" applyFont="1" applyFill="1" applyBorder="1" applyAlignment="1">
      <alignment horizontal="center"/>
    </xf>
    <xf numFmtId="0" fontId="2" fillId="52" borderId="16" xfId="0" applyFont="1" applyFill="1" applyBorder="1" applyAlignment="1">
      <alignment horizontal="center"/>
    </xf>
    <xf numFmtId="49" fontId="5" fillId="52" borderId="17" xfId="0" applyNumberFormat="1" applyFont="1" applyFill="1" applyBorder="1" applyAlignment="1">
      <alignment horizontal="center"/>
    </xf>
    <xf numFmtId="0" fontId="2" fillId="52" borderId="18" xfId="0" applyFont="1" applyFill="1" applyBorder="1" applyAlignment="1">
      <alignment horizontal="center"/>
    </xf>
    <xf numFmtId="49" fontId="5" fillId="52" borderId="19" xfId="0" applyNumberFormat="1" applyFont="1" applyFill="1" applyBorder="1" applyAlignment="1">
      <alignment horizontal="center"/>
    </xf>
    <xf numFmtId="49" fontId="5" fillId="5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5" fillId="52" borderId="21" xfId="0" applyFont="1" applyFill="1" applyBorder="1" applyAlignment="1">
      <alignment horizontal="center"/>
    </xf>
    <xf numFmtId="0" fontId="5" fillId="52" borderId="22" xfId="0" applyFont="1" applyFill="1" applyBorder="1" applyAlignment="1">
      <alignment horizontal="center"/>
    </xf>
    <xf numFmtId="0" fontId="9" fillId="50" borderId="2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52" borderId="24" xfId="0" applyFill="1" applyBorder="1" applyAlignment="1">
      <alignment horizontal="center"/>
    </xf>
    <xf numFmtId="0" fontId="0" fillId="52" borderId="25" xfId="0" applyFill="1" applyBorder="1" applyAlignment="1">
      <alignment horizontal="center"/>
    </xf>
    <xf numFmtId="0" fontId="0" fillId="52" borderId="26" xfId="0" applyFill="1" applyBorder="1" applyAlignment="1">
      <alignment horizontal="center"/>
    </xf>
    <xf numFmtId="49" fontId="5" fillId="52" borderId="27" xfId="0" applyNumberFormat="1" applyFont="1" applyFill="1" applyBorder="1" applyAlignment="1">
      <alignment horizontal="center"/>
    </xf>
    <xf numFmtId="0" fontId="7" fillId="51" borderId="11" xfId="0" applyFont="1" applyFill="1" applyBorder="1" applyAlignment="1">
      <alignment/>
    </xf>
    <xf numFmtId="49" fontId="7" fillId="52" borderId="28" xfId="0" applyNumberFormat="1" applyFont="1" applyFill="1" applyBorder="1" applyAlignment="1">
      <alignment horizontal="center" vertical="center" wrapText="1"/>
    </xf>
    <xf numFmtId="49" fontId="7" fillId="52" borderId="29" xfId="0" applyNumberFormat="1" applyFont="1" applyFill="1" applyBorder="1" applyAlignment="1">
      <alignment horizontal="center" vertical="center" wrapText="1"/>
    </xf>
    <xf numFmtId="49" fontId="7" fillId="52" borderId="30" xfId="0" applyNumberFormat="1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/>
    </xf>
    <xf numFmtId="0" fontId="5" fillId="50" borderId="3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3" fillId="0" borderId="0" xfId="65" applyFont="1" applyAlignment="1">
      <alignment vertical="center" wrapText="1"/>
      <protection/>
    </xf>
    <xf numFmtId="0" fontId="46" fillId="0" borderId="0" xfId="65" applyFont="1" applyAlignment="1">
      <alignment vertical="center" wrapText="1"/>
      <protection/>
    </xf>
    <xf numFmtId="0" fontId="33" fillId="0" borderId="0" xfId="65" applyFont="1" applyFill="1" applyAlignment="1">
      <alignment horizontal="right" vertical="center" wrapText="1"/>
      <protection/>
    </xf>
    <xf numFmtId="0" fontId="33" fillId="0" borderId="0" xfId="65" applyFont="1" applyFill="1" applyAlignment="1">
      <alignment vertical="center" wrapText="1"/>
      <protection/>
    </xf>
    <xf numFmtId="0" fontId="46" fillId="0" borderId="0" xfId="65" applyFont="1" applyFill="1" applyAlignment="1">
      <alignment vertical="center" wrapText="1"/>
      <protection/>
    </xf>
    <xf numFmtId="0" fontId="50" fillId="0" borderId="11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50" fillId="0" borderId="20" xfId="0" applyFont="1" applyBorder="1" applyAlignment="1">
      <alignment/>
    </xf>
    <xf numFmtId="0" fontId="9" fillId="50" borderId="32" xfId="0" applyFont="1" applyFill="1" applyBorder="1" applyAlignment="1">
      <alignment horizontal="left" vertical="center"/>
    </xf>
    <xf numFmtId="0" fontId="10" fillId="50" borderId="0" xfId="0" applyFont="1" applyFill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49" fontId="7" fillId="50" borderId="33" xfId="0" applyNumberFormat="1" applyFont="1" applyFill="1" applyBorder="1" applyAlignment="1">
      <alignment horizontal="center" vertical="center" wrapText="1"/>
    </xf>
    <xf numFmtId="49" fontId="7" fillId="50" borderId="34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33" fillId="0" borderId="11" xfId="0" applyFont="1" applyBorder="1" applyAlignment="1" applyProtection="1">
      <alignment horizontal="right" vertical="center" wrapText="1"/>
      <protection locked="0"/>
    </xf>
    <xf numFmtId="0" fontId="46" fillId="53" borderId="11" xfId="0" applyFont="1" applyFill="1" applyBorder="1" applyAlignment="1">
      <alignment vertical="center" wrapText="1"/>
    </xf>
    <xf numFmtId="0" fontId="33" fillId="53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50" borderId="11" xfId="0" applyFont="1" applyFill="1" applyBorder="1" applyAlignment="1">
      <alignment horizontal="right" vertical="center" wrapText="1"/>
    </xf>
    <xf numFmtId="0" fontId="33" fillId="50" borderId="11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3" fontId="33" fillId="0" borderId="11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0" xfId="65" applyFont="1" applyAlignment="1">
      <alignment vertical="center" wrapText="1"/>
      <protection/>
    </xf>
    <xf numFmtId="0" fontId="5" fillId="54" borderId="11" xfId="0" applyFont="1" applyFill="1" applyBorder="1" applyAlignment="1">
      <alignment/>
    </xf>
    <xf numFmtId="0" fontId="5" fillId="54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1" fillId="0" borderId="0" xfId="66" applyFont="1" applyAlignment="1">
      <alignment vertical="center" wrapText="1"/>
      <protection/>
    </xf>
    <xf numFmtId="0" fontId="49" fillId="0" borderId="0" xfId="66" applyFont="1" applyAlignment="1">
      <alignment vertical="center"/>
      <protection/>
    </xf>
    <xf numFmtId="0" fontId="46" fillId="53" borderId="11" xfId="0" applyFont="1" applyFill="1" applyBorder="1" applyAlignment="1">
      <alignment vertical="center"/>
    </xf>
    <xf numFmtId="0" fontId="33" fillId="53" borderId="11" xfId="0" applyFont="1" applyFill="1" applyBorder="1" applyAlignment="1">
      <alignment horizontal="right" vertical="center"/>
    </xf>
    <xf numFmtId="0" fontId="55" fillId="53" borderId="11" xfId="0" applyFont="1" applyFill="1" applyBorder="1" applyAlignment="1">
      <alignment vertical="center"/>
    </xf>
    <xf numFmtId="0" fontId="48" fillId="0" borderId="0" xfId="66" applyFont="1" applyAlignment="1">
      <alignment vertical="center"/>
      <protection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vertical="center"/>
    </xf>
    <xf numFmtId="0" fontId="46" fillId="0" borderId="11" xfId="0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right" vertical="center"/>
      <protection locked="0"/>
    </xf>
    <xf numFmtId="0" fontId="33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3" fillId="0" borderId="11" xfId="0" applyFont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 applyProtection="1">
      <alignment horizontal="left" vertical="center"/>
      <protection locked="0"/>
    </xf>
    <xf numFmtId="0" fontId="33" fillId="0" borderId="38" xfId="0" applyFont="1" applyBorder="1" applyAlignment="1" applyProtection="1">
      <alignment vertical="center"/>
      <protection locked="0"/>
    </xf>
    <xf numFmtId="0" fontId="46" fillId="0" borderId="11" xfId="0" applyFont="1" applyBorder="1" applyAlignment="1">
      <alignment horizontal="center" vertical="center"/>
    </xf>
    <xf numFmtId="3" fontId="33" fillId="0" borderId="11" xfId="0" applyNumberFormat="1" applyFont="1" applyBorder="1" applyAlignment="1" applyProtection="1">
      <alignment vertical="center"/>
      <protection locked="0"/>
    </xf>
    <xf numFmtId="0" fontId="55" fillId="0" borderId="11" xfId="0" applyFont="1" applyBorder="1" applyAlignment="1" applyProtection="1">
      <alignment vertical="center"/>
      <protection locked="0"/>
    </xf>
    <xf numFmtId="3" fontId="33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14" fontId="46" fillId="0" borderId="11" xfId="0" applyNumberFormat="1" applyFont="1" applyBorder="1" applyAlignment="1">
      <alignment horizontal="left" vertical="center"/>
    </xf>
    <xf numFmtId="0" fontId="46" fillId="53" borderId="11" xfId="0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64" fillId="0" borderId="0" xfId="66" applyFont="1" applyAlignment="1">
      <alignment vertical="center"/>
      <protection/>
    </xf>
    <xf numFmtId="0" fontId="65" fillId="0" borderId="0" xfId="66" applyFont="1" applyAlignment="1">
      <alignment vertical="center"/>
      <protection/>
    </xf>
    <xf numFmtId="0" fontId="46" fillId="55" borderId="11" xfId="0" applyFont="1" applyFill="1" applyBorder="1" applyAlignment="1">
      <alignment vertical="center"/>
    </xf>
    <xf numFmtId="0" fontId="46" fillId="55" borderId="11" xfId="0" applyFont="1" applyFill="1" applyBorder="1" applyAlignment="1">
      <alignment horizontal="right" vertical="center"/>
    </xf>
    <xf numFmtId="0" fontId="55" fillId="55" borderId="11" xfId="0" applyFont="1" applyFill="1" applyBorder="1" applyAlignment="1">
      <alignment horizontal="left" vertical="center"/>
    </xf>
    <xf numFmtId="0" fontId="33" fillId="0" borderId="38" xfId="0" applyFont="1" applyBorder="1" applyAlignment="1" applyProtection="1">
      <alignment horizontal="left" vertical="center"/>
      <protection locked="0"/>
    </xf>
    <xf numFmtId="3" fontId="33" fillId="0" borderId="11" xfId="0" applyNumberFormat="1" applyFont="1" applyBorder="1" applyAlignment="1" applyProtection="1">
      <alignment horizontal="right" vertical="center"/>
      <protection locked="0"/>
    </xf>
    <xf numFmtId="0" fontId="47" fillId="0" borderId="0" xfId="66" applyFont="1" applyAlignment="1">
      <alignment vertical="center"/>
      <protection/>
    </xf>
    <xf numFmtId="3" fontId="33" fillId="0" borderId="38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46" fillId="50" borderId="11" xfId="0" applyFont="1" applyFill="1" applyBorder="1" applyAlignment="1">
      <alignment vertical="center"/>
    </xf>
    <xf numFmtId="0" fontId="46" fillId="50" borderId="11" xfId="0" applyFont="1" applyFill="1" applyBorder="1" applyAlignment="1">
      <alignment horizontal="right" vertical="center"/>
    </xf>
    <xf numFmtId="0" fontId="55" fillId="50" borderId="11" xfId="0" applyFont="1" applyFill="1" applyBorder="1" applyAlignment="1">
      <alignment horizontal="center" vertical="center"/>
    </xf>
    <xf numFmtId="0" fontId="46" fillId="53" borderId="11" xfId="0" applyFont="1" applyFill="1" applyBorder="1" applyAlignment="1">
      <alignment horizontal="center" vertical="center"/>
    </xf>
    <xf numFmtId="0" fontId="33" fillId="0" borderId="0" xfId="66" applyFont="1" applyAlignment="1">
      <alignment vertical="center"/>
      <protection/>
    </xf>
    <xf numFmtId="0" fontId="0" fillId="0" borderId="0" xfId="66" applyAlignment="1">
      <alignment vertical="center"/>
      <protection/>
    </xf>
    <xf numFmtId="0" fontId="46" fillId="0" borderId="0" xfId="66" applyFont="1" applyAlignment="1">
      <alignment vertical="center"/>
      <protection/>
    </xf>
    <xf numFmtId="0" fontId="12" fillId="0" borderId="0" xfId="66" applyFont="1" applyAlignment="1">
      <alignment vertical="center"/>
      <protection/>
    </xf>
    <xf numFmtId="0" fontId="33" fillId="0" borderId="11" xfId="0" applyNumberFormat="1" applyFont="1" applyBorder="1" applyAlignment="1" applyProtection="1">
      <alignment horizontal="left" vertical="center"/>
      <protection locked="0"/>
    </xf>
    <xf numFmtId="49" fontId="33" fillId="0" borderId="11" xfId="0" applyNumberFormat="1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0" xfId="66" applyFont="1" applyAlignment="1">
      <alignment horizontal="right" vertical="center"/>
      <protection/>
    </xf>
    <xf numFmtId="0" fontId="33" fillId="54" borderId="11" xfId="0" applyFont="1" applyFill="1" applyBorder="1" applyAlignment="1">
      <alignment horizontal="center" vertical="center"/>
    </xf>
    <xf numFmtId="3" fontId="33" fillId="54" borderId="11" xfId="0" applyNumberFormat="1" applyFont="1" applyFill="1" applyBorder="1" applyAlignment="1" applyProtection="1">
      <alignment horizontal="left" vertical="center"/>
      <protection locked="0"/>
    </xf>
    <xf numFmtId="0" fontId="62" fillId="54" borderId="11" xfId="0" applyFont="1" applyFill="1" applyBorder="1" applyAlignment="1">
      <alignment vertical="center"/>
    </xf>
    <xf numFmtId="0" fontId="5" fillId="52" borderId="19" xfId="0" applyFont="1" applyFill="1" applyBorder="1" applyAlignment="1">
      <alignment horizontal="center" vertical="center"/>
    </xf>
    <xf numFmtId="3" fontId="33" fillId="0" borderId="11" xfId="0" applyNumberFormat="1" applyFont="1" applyBorder="1" applyAlignment="1">
      <alignment vertical="center"/>
    </xf>
    <xf numFmtId="0" fontId="5" fillId="5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0" fillId="52" borderId="24" xfId="0" applyNumberFormat="1" applyFill="1" applyBorder="1" applyAlignment="1">
      <alignment horizontal="center" vertical="center"/>
    </xf>
    <xf numFmtId="0" fontId="2" fillId="52" borderId="16" xfId="0" applyFont="1" applyFill="1" applyBorder="1" applyAlignment="1">
      <alignment horizontal="center" vertical="center"/>
    </xf>
    <xf numFmtId="49" fontId="3" fillId="52" borderId="17" xfId="0" applyNumberFormat="1" applyFont="1" applyFill="1" applyBorder="1" applyAlignment="1">
      <alignment horizontal="center" vertical="center"/>
    </xf>
    <xf numFmtId="49" fontId="4" fillId="52" borderId="1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52" borderId="18" xfId="0" applyFont="1" applyFill="1" applyBorder="1" applyAlignment="1">
      <alignment horizontal="center" vertical="center"/>
    </xf>
    <xf numFmtId="49" fontId="5" fillId="52" borderId="19" xfId="0" applyNumberFormat="1" applyFont="1" applyFill="1" applyBorder="1" applyAlignment="1">
      <alignment horizontal="center" vertical="center"/>
    </xf>
    <xf numFmtId="49" fontId="5" fillId="52" borderId="21" xfId="0" applyNumberFormat="1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center" vertical="center"/>
    </xf>
    <xf numFmtId="49" fontId="5" fillId="52" borderId="22" xfId="0" applyNumberFormat="1" applyFont="1" applyFill="1" applyBorder="1" applyAlignment="1">
      <alignment horizontal="center" vertical="center"/>
    </xf>
    <xf numFmtId="0" fontId="2" fillId="52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56" borderId="11" xfId="0" applyFont="1" applyFill="1" applyBorder="1" applyAlignment="1">
      <alignment horizontal="center" vertical="center"/>
    </xf>
    <xf numFmtId="0" fontId="16" fillId="56" borderId="11" xfId="0" applyFont="1" applyFill="1" applyBorder="1" applyAlignment="1">
      <alignment vertical="center"/>
    </xf>
    <xf numFmtId="0" fontId="5" fillId="56" borderId="11" xfId="0" applyFont="1" applyFill="1" applyBorder="1" applyAlignment="1">
      <alignment vertical="center"/>
    </xf>
    <xf numFmtId="164" fontId="7" fillId="56" borderId="11" xfId="0" applyNumberFormat="1" applyFont="1" applyFill="1" applyBorder="1" applyAlignment="1">
      <alignment horizontal="center" vertical="center"/>
    </xf>
    <xf numFmtId="164" fontId="7" fillId="56" borderId="27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56" borderId="41" xfId="0" applyNumberFormat="1" applyFont="1" applyFill="1" applyBorder="1" applyAlignment="1">
      <alignment horizontal="center" vertical="center"/>
    </xf>
    <xf numFmtId="164" fontId="7" fillId="56" borderId="4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51" borderId="11" xfId="0" applyNumberFormat="1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vertical="center"/>
    </xf>
    <xf numFmtId="0" fontId="7" fillId="51" borderId="11" xfId="0" applyFont="1" applyFill="1" applyBorder="1" applyAlignment="1">
      <alignment vertical="center"/>
    </xf>
    <xf numFmtId="164" fontId="4" fillId="51" borderId="11" xfId="0" applyNumberFormat="1" applyFont="1" applyFill="1" applyBorder="1" applyAlignment="1">
      <alignment horizontal="center" vertical="center"/>
    </xf>
    <xf numFmtId="164" fontId="4" fillId="51" borderId="27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51" borderId="41" xfId="0" applyNumberFormat="1" applyFont="1" applyFill="1" applyBorder="1" applyAlignment="1">
      <alignment horizontal="center" vertical="center"/>
    </xf>
    <xf numFmtId="164" fontId="4" fillId="51" borderId="4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54" borderId="11" xfId="0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54" borderId="11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5" fillId="54" borderId="27" xfId="0" applyNumberFormat="1" applyFont="1" applyFill="1" applyBorder="1" applyAlignment="1">
      <alignment horizontal="center" vertical="center"/>
    </xf>
    <xf numFmtId="164" fontId="5" fillId="54" borderId="4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64" fontId="5" fillId="56" borderId="11" xfId="0" applyNumberFormat="1" applyFont="1" applyFill="1" applyBorder="1" applyAlignment="1">
      <alignment horizontal="center" vertical="center"/>
    </xf>
    <xf numFmtId="164" fontId="5" fillId="56" borderId="2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56" borderId="41" xfId="0" applyNumberFormat="1" applyFont="1" applyFill="1" applyBorder="1" applyAlignment="1">
      <alignment horizontal="center" vertical="center"/>
    </xf>
    <xf numFmtId="164" fontId="5" fillId="56" borderId="42" xfId="0" applyNumberFormat="1" applyFont="1" applyFill="1" applyBorder="1" applyAlignment="1">
      <alignment horizontal="center" vertical="center"/>
    </xf>
    <xf numFmtId="165" fontId="5" fillId="54" borderId="11" xfId="0" applyNumberFormat="1" applyFont="1" applyFill="1" applyBorder="1" applyAlignment="1">
      <alignment horizontal="center" vertical="center"/>
    </xf>
    <xf numFmtId="0" fontId="2" fillId="5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5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165" fontId="5" fillId="54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4" fontId="5" fillId="54" borderId="43" xfId="0" applyNumberFormat="1" applyFont="1" applyFill="1" applyBorder="1" applyAlignment="1">
      <alignment horizontal="center" vertical="center"/>
    </xf>
    <xf numFmtId="164" fontId="5" fillId="54" borderId="44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horizontal="right" vertical="center"/>
    </xf>
    <xf numFmtId="164" fontId="5" fillId="0" borderId="37" xfId="0" applyNumberFormat="1" applyFont="1" applyFill="1" applyBorder="1" applyAlignment="1">
      <alignment horizontal="right" vertical="center"/>
    </xf>
    <xf numFmtId="164" fontId="5" fillId="0" borderId="43" xfId="0" applyNumberFormat="1" applyFont="1" applyFill="1" applyBorder="1" applyAlignment="1">
      <alignment horizontal="center" vertical="center"/>
    </xf>
    <xf numFmtId="164" fontId="7" fillId="56" borderId="45" xfId="0" applyNumberFormat="1" applyFont="1" applyFill="1" applyBorder="1" applyAlignment="1">
      <alignment horizontal="center" vertical="center"/>
    </xf>
    <xf numFmtId="164" fontId="4" fillId="51" borderId="45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56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4" fillId="51" borderId="42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9" fillId="50" borderId="24" xfId="0" applyNumberFormat="1" applyFont="1" applyFill="1" applyBorder="1" applyAlignment="1">
      <alignment horizontal="center" vertical="center"/>
    </xf>
    <xf numFmtId="49" fontId="49" fillId="50" borderId="47" xfId="0" applyNumberFormat="1" applyFont="1" applyFill="1" applyBorder="1" applyAlignment="1">
      <alignment horizontal="center" vertical="center"/>
    </xf>
    <xf numFmtId="49" fontId="49" fillId="50" borderId="26" xfId="0" applyNumberFormat="1" applyFont="1" applyFill="1" applyBorder="1" applyAlignment="1">
      <alignment horizontal="center" vertical="center"/>
    </xf>
    <xf numFmtId="49" fontId="7" fillId="50" borderId="0" xfId="0" applyNumberFormat="1" applyFont="1" applyFill="1" applyBorder="1" applyAlignment="1">
      <alignment horizontal="center" vertical="center" wrapText="1"/>
    </xf>
    <xf numFmtId="49" fontId="7" fillId="50" borderId="48" xfId="0" applyNumberFormat="1" applyFont="1" applyFill="1" applyBorder="1" applyAlignment="1">
      <alignment horizontal="center" vertical="center" wrapText="1"/>
    </xf>
    <xf numFmtId="0" fontId="5" fillId="52" borderId="4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49" fontId="0" fillId="52" borderId="50" xfId="0" applyNumberFormat="1" applyFill="1" applyBorder="1" applyAlignment="1">
      <alignment horizontal="center" vertical="center"/>
    </xf>
    <xf numFmtId="49" fontId="0" fillId="52" borderId="51" xfId="0" applyNumberFormat="1" applyFill="1" applyBorder="1" applyAlignment="1">
      <alignment horizontal="center" vertical="center"/>
    </xf>
    <xf numFmtId="49" fontId="0" fillId="52" borderId="52" xfId="0" applyNumberFormat="1" applyFill="1" applyBorder="1" applyAlignment="1">
      <alignment horizontal="center" vertical="center"/>
    </xf>
    <xf numFmtId="49" fontId="0" fillId="50" borderId="47" xfId="0" applyNumberFormat="1" applyFill="1" applyBorder="1" applyAlignment="1">
      <alignment horizontal="center" vertical="center"/>
    </xf>
    <xf numFmtId="0" fontId="2" fillId="52" borderId="15" xfId="0" applyFont="1" applyFill="1" applyBorder="1" applyAlignment="1">
      <alignment horizontal="center" vertical="center"/>
    </xf>
    <xf numFmtId="49" fontId="3" fillId="52" borderId="24" xfId="0" applyNumberFormat="1" applyFont="1" applyFill="1" applyBorder="1" applyAlignment="1">
      <alignment horizontal="center" vertical="center"/>
    </xf>
    <xf numFmtId="49" fontId="4" fillId="52" borderId="24" xfId="0" applyNumberFormat="1" applyFont="1" applyFill="1" applyBorder="1" applyAlignment="1">
      <alignment horizontal="center" vertical="center"/>
    </xf>
    <xf numFmtId="49" fontId="5" fillId="52" borderId="24" xfId="0" applyNumberFormat="1" applyFont="1" applyFill="1" applyBorder="1" applyAlignment="1">
      <alignment horizontal="center" vertical="center"/>
    </xf>
    <xf numFmtId="0" fontId="5" fillId="52" borderId="5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5" fillId="52" borderId="17" xfId="0" applyNumberFormat="1" applyFont="1" applyFill="1" applyBorder="1" applyAlignment="1">
      <alignment horizontal="center" vertical="center"/>
    </xf>
    <xf numFmtId="0" fontId="5" fillId="52" borderId="54" xfId="0" applyFont="1" applyFill="1" applyBorder="1" applyAlignment="1">
      <alignment horizontal="center" vertical="center"/>
    </xf>
    <xf numFmtId="0" fontId="5" fillId="52" borderId="45" xfId="0" applyFont="1" applyFill="1" applyBorder="1" applyAlignment="1">
      <alignment horizontal="center" vertical="center"/>
    </xf>
    <xf numFmtId="0" fontId="5" fillId="52" borderId="55" xfId="0" applyFont="1" applyFill="1" applyBorder="1" applyAlignment="1">
      <alignment horizontal="center" vertical="center"/>
    </xf>
    <xf numFmtId="49" fontId="5" fillId="52" borderId="0" xfId="0" applyNumberFormat="1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6" fillId="50" borderId="56" xfId="0" applyNumberFormat="1" applyFont="1" applyFill="1" applyBorder="1" applyAlignment="1">
      <alignment horizontal="center" vertical="center"/>
    </xf>
    <xf numFmtId="164" fontId="16" fillId="50" borderId="31" xfId="0" applyNumberFormat="1" applyFont="1" applyFill="1" applyBorder="1" applyAlignment="1">
      <alignment horizontal="center" vertical="center"/>
    </xf>
    <xf numFmtId="164" fontId="16" fillId="50" borderId="14" xfId="0" applyNumberFormat="1" applyFont="1" applyFill="1" applyBorder="1" applyAlignment="1">
      <alignment horizontal="center" vertical="center"/>
    </xf>
    <xf numFmtId="164" fontId="16" fillId="50" borderId="57" xfId="0" applyNumberFormat="1" applyFont="1" applyFill="1" applyBorder="1" applyAlignment="1">
      <alignment horizontal="center" vertical="center"/>
    </xf>
    <xf numFmtId="164" fontId="16" fillId="50" borderId="58" xfId="0" applyNumberFormat="1" applyFont="1" applyFill="1" applyBorder="1" applyAlignment="1">
      <alignment horizontal="center" vertical="center"/>
    </xf>
    <xf numFmtId="0" fontId="5" fillId="56" borderId="27" xfId="0" applyFont="1" applyFill="1" applyBorder="1" applyAlignment="1">
      <alignment vertical="center"/>
    </xf>
    <xf numFmtId="164" fontId="7" fillId="56" borderId="55" xfId="0" applyNumberFormat="1" applyFont="1" applyFill="1" applyBorder="1" applyAlignment="1">
      <alignment horizontal="center" vertical="center"/>
    </xf>
    <xf numFmtId="164" fontId="7" fillId="56" borderId="34" xfId="0" applyNumberFormat="1" applyFont="1" applyFill="1" applyBorder="1" applyAlignment="1">
      <alignment horizontal="center" vertical="center"/>
    </xf>
    <xf numFmtId="0" fontId="7" fillId="51" borderId="27" xfId="0" applyFont="1" applyFill="1" applyBorder="1" applyAlignment="1">
      <alignment vertical="center"/>
    </xf>
    <xf numFmtId="164" fontId="4" fillId="51" borderId="11" xfId="0" applyNumberFormat="1" applyFont="1" applyFill="1" applyBorder="1" applyAlignment="1">
      <alignment horizontal="center" vertical="center"/>
    </xf>
    <xf numFmtId="164" fontId="4" fillId="51" borderId="27" xfId="0" applyNumberFormat="1" applyFont="1" applyFill="1" applyBorder="1" applyAlignment="1">
      <alignment horizontal="center" vertical="center"/>
    </xf>
    <xf numFmtId="164" fontId="4" fillId="51" borderId="55" xfId="0" applyNumberFormat="1" applyFont="1" applyFill="1" applyBorder="1" applyAlignment="1">
      <alignment horizontal="center" vertical="center"/>
    </xf>
    <xf numFmtId="164" fontId="4" fillId="51" borderId="16" xfId="0" applyNumberFormat="1" applyFont="1" applyFill="1" applyBorder="1" applyAlignment="1">
      <alignment horizontal="center" vertical="center"/>
    </xf>
    <xf numFmtId="164" fontId="4" fillId="51" borderId="21" xfId="0" applyNumberFormat="1" applyFont="1" applyFill="1" applyBorder="1" applyAlignment="1">
      <alignment horizontal="center" vertical="center"/>
    </xf>
    <xf numFmtId="164" fontId="4" fillId="51" borderId="35" xfId="0" applyNumberFormat="1" applyFont="1" applyFill="1" applyBorder="1" applyAlignment="1">
      <alignment horizontal="center" vertical="center"/>
    </xf>
    <xf numFmtId="164" fontId="4" fillId="51" borderId="59" xfId="0" applyNumberFormat="1" applyFont="1" applyFill="1" applyBorder="1" applyAlignment="1">
      <alignment horizontal="center" vertical="center"/>
    </xf>
    <xf numFmtId="164" fontId="4" fillId="51" borderId="6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5" fillId="54" borderId="5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2" fillId="54" borderId="11" xfId="0" applyNumberFormat="1" applyFont="1" applyFill="1" applyBorder="1" applyAlignment="1">
      <alignment horizontal="center" vertical="center"/>
    </xf>
    <xf numFmtId="0" fontId="16" fillId="56" borderId="11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56" borderId="16" xfId="0" applyNumberFormat="1" applyFont="1" applyFill="1" applyBorder="1" applyAlignment="1">
      <alignment horizontal="center" vertical="center"/>
    </xf>
    <xf numFmtId="164" fontId="7" fillId="56" borderId="2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51" borderId="2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51" borderId="12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7" xfId="0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54" borderId="11" xfId="0" applyNumberFormat="1" applyFont="1" applyFill="1" applyBorder="1" applyAlignment="1">
      <alignment horizontal="center" vertical="center"/>
    </xf>
    <xf numFmtId="164" fontId="7" fillId="56" borderId="12" xfId="0" applyNumberFormat="1" applyFont="1" applyFill="1" applyBorder="1" applyAlignment="1">
      <alignment horizontal="center" vertical="center"/>
    </xf>
    <xf numFmtId="164" fontId="4" fillId="51" borderId="5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51" borderId="16" xfId="0" applyNumberFormat="1" applyFont="1" applyFill="1" applyBorder="1" applyAlignment="1">
      <alignment horizontal="center" vertical="center"/>
    </xf>
    <xf numFmtId="164" fontId="4" fillId="51" borderId="21" xfId="0" applyNumberFormat="1" applyFont="1" applyFill="1" applyBorder="1" applyAlignment="1">
      <alignment horizontal="center" vertical="center"/>
    </xf>
    <xf numFmtId="164" fontId="4" fillId="51" borderId="35" xfId="0" applyNumberFormat="1" applyFont="1" applyFill="1" applyBorder="1" applyAlignment="1">
      <alignment horizontal="center" vertical="center"/>
    </xf>
    <xf numFmtId="164" fontId="4" fillId="51" borderId="5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64" fontId="5" fillId="54" borderId="20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2" fillId="0" borderId="39" xfId="0" applyNumberFormat="1" applyFont="1" applyFill="1" applyBorder="1" applyAlignment="1">
      <alignment vertical="center"/>
    </xf>
    <xf numFmtId="49" fontId="12" fillId="52" borderId="24" xfId="0" applyNumberFormat="1" applyFont="1" applyFill="1" applyBorder="1" applyAlignment="1">
      <alignment vertical="center"/>
    </xf>
    <xf numFmtId="0" fontId="0" fillId="52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0" fillId="50" borderId="26" xfId="0" applyNumberFormat="1" applyFill="1" applyBorder="1" applyAlignment="1">
      <alignment horizontal="center" vertical="center"/>
    </xf>
    <xf numFmtId="49" fontId="4" fillId="52" borderId="49" xfId="0" applyNumberFormat="1" applyFont="1" applyFill="1" applyBorder="1" applyAlignment="1">
      <alignment horizontal="center" vertical="center"/>
    </xf>
    <xf numFmtId="0" fontId="5" fillId="52" borderId="61" xfId="0" applyFont="1" applyFill="1" applyBorder="1" applyAlignment="1">
      <alignment horizontal="center" vertical="center"/>
    </xf>
    <xf numFmtId="164" fontId="5" fillId="56" borderId="55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54" borderId="5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4" fontId="7" fillId="51" borderId="41" xfId="0" applyNumberFormat="1" applyFont="1" applyFill="1" applyBorder="1" applyAlignment="1">
      <alignment horizontal="center" vertical="center"/>
    </xf>
    <xf numFmtId="164" fontId="7" fillId="51" borderId="11" xfId="0" applyNumberFormat="1" applyFont="1" applyFill="1" applyBorder="1" applyAlignment="1">
      <alignment horizontal="center" vertical="center"/>
    </xf>
    <xf numFmtId="164" fontId="7" fillId="51" borderId="2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4" fontId="50" fillId="54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51" borderId="4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0" fontId="22" fillId="54" borderId="11" xfId="0" applyFont="1" applyFill="1" applyBorder="1" applyAlignment="1">
      <alignment vertical="center"/>
    </xf>
    <xf numFmtId="164" fontId="2" fillId="54" borderId="11" xfId="0" applyNumberFormat="1" applyFont="1" applyFill="1" applyBorder="1" applyAlignment="1">
      <alignment horizontal="center" vertical="center"/>
    </xf>
    <xf numFmtId="164" fontId="7" fillId="51" borderId="11" xfId="0" applyNumberFormat="1" applyFont="1" applyFill="1" applyBorder="1" applyAlignment="1">
      <alignment horizontal="center" vertical="center"/>
    </xf>
    <xf numFmtId="164" fontId="7" fillId="51" borderId="27" xfId="0" applyNumberFormat="1" applyFont="1" applyFill="1" applyBorder="1" applyAlignment="1">
      <alignment horizontal="center" vertical="center"/>
    </xf>
    <xf numFmtId="164" fontId="7" fillId="51" borderId="42" xfId="0" applyNumberFormat="1" applyFont="1" applyFill="1" applyBorder="1" applyAlignment="1">
      <alignment horizontal="center" vertical="center"/>
    </xf>
    <xf numFmtId="164" fontId="7" fillId="51" borderId="4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15" fillId="56" borderId="63" xfId="0" applyFont="1" applyFill="1" applyBorder="1" applyAlignment="1">
      <alignment horizontal="center" vertical="center"/>
    </xf>
    <xf numFmtId="0" fontId="16" fillId="56" borderId="63" xfId="0" applyFont="1" applyFill="1" applyBorder="1" applyAlignment="1">
      <alignment vertical="center"/>
    </xf>
    <xf numFmtId="0" fontId="5" fillId="56" borderId="63" xfId="0" applyFont="1" applyFill="1" applyBorder="1" applyAlignment="1">
      <alignment vertical="center"/>
    </xf>
    <xf numFmtId="164" fontId="7" fillId="56" borderId="63" xfId="0" applyNumberFormat="1" applyFont="1" applyFill="1" applyBorder="1" applyAlignment="1">
      <alignment horizontal="center" vertical="center"/>
    </xf>
    <xf numFmtId="164" fontId="7" fillId="56" borderId="64" xfId="0" applyNumberFormat="1" applyFont="1" applyFill="1" applyBorder="1" applyAlignment="1">
      <alignment horizontal="center" vertical="center"/>
    </xf>
    <xf numFmtId="164" fontId="7" fillId="56" borderId="48" xfId="0" applyNumberFormat="1" applyFont="1" applyFill="1" applyBorder="1" applyAlignment="1">
      <alignment horizontal="center" vertical="center"/>
    </xf>
    <xf numFmtId="164" fontId="7" fillId="56" borderId="65" xfId="0" applyNumberFormat="1" applyFont="1" applyFill="1" applyBorder="1" applyAlignment="1">
      <alignment horizontal="center" vertical="center"/>
    </xf>
    <xf numFmtId="164" fontId="7" fillId="56" borderId="6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6" fillId="51" borderId="21" xfId="0" applyNumberFormat="1" applyFont="1" applyFill="1" applyBorder="1" applyAlignment="1">
      <alignment horizontal="center" vertical="center"/>
    </xf>
    <xf numFmtId="0" fontId="7" fillId="51" borderId="21" xfId="0" applyFont="1" applyFill="1" applyBorder="1" applyAlignment="1">
      <alignment vertical="center"/>
    </xf>
    <xf numFmtId="164" fontId="7" fillId="51" borderId="17" xfId="0" applyNumberFormat="1" applyFont="1" applyFill="1" applyBorder="1" applyAlignment="1">
      <alignment horizontal="center" vertical="center"/>
    </xf>
    <xf numFmtId="164" fontId="7" fillId="51" borderId="21" xfId="0" applyNumberFormat="1" applyFont="1" applyFill="1" applyBorder="1" applyAlignment="1">
      <alignment horizontal="center" vertical="center"/>
    </xf>
    <xf numFmtId="164" fontId="7" fillId="51" borderId="3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64" fontId="5" fillId="0" borderId="68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4" fontId="5" fillId="54" borderId="69" xfId="0" applyNumberFormat="1" applyFont="1" applyFill="1" applyBorder="1" applyAlignment="1">
      <alignment horizontal="center" vertical="center"/>
    </xf>
    <xf numFmtId="0" fontId="5" fillId="50" borderId="14" xfId="0" applyFont="1" applyFill="1" applyBorder="1" applyAlignment="1">
      <alignment vertical="center"/>
    </xf>
    <xf numFmtId="164" fontId="16" fillId="50" borderId="70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52" borderId="27" xfId="0" applyFont="1" applyFill="1" applyBorder="1" applyAlignment="1">
      <alignment horizontal="center" vertical="center"/>
    </xf>
    <xf numFmtId="0" fontId="5" fillId="52" borderId="71" xfId="0" applyFont="1" applyFill="1" applyBorder="1" applyAlignment="1">
      <alignment horizontal="center" vertical="center"/>
    </xf>
    <xf numFmtId="0" fontId="14" fillId="52" borderId="11" xfId="0" applyFont="1" applyFill="1" applyBorder="1" applyAlignment="1">
      <alignment horizontal="center" vertical="center"/>
    </xf>
    <xf numFmtId="0" fontId="33" fillId="0" borderId="0" xfId="66" applyFont="1" applyAlignment="1">
      <alignment horizontal="center" vertical="center"/>
      <protection/>
    </xf>
    <xf numFmtId="0" fontId="0" fillId="52" borderId="50" xfId="0" applyFill="1" applyBorder="1" applyAlignment="1">
      <alignment horizontal="center" vertical="center"/>
    </xf>
    <xf numFmtId="0" fontId="0" fillId="52" borderId="51" xfId="0" applyFill="1" applyBorder="1" applyAlignment="1">
      <alignment horizontal="center" vertical="center"/>
    </xf>
    <xf numFmtId="0" fontId="0" fillId="52" borderId="52" xfId="0" applyFill="1" applyBorder="1" applyAlignment="1">
      <alignment horizontal="center" vertical="center"/>
    </xf>
    <xf numFmtId="0" fontId="5" fillId="52" borderId="72" xfId="0" applyFont="1" applyFill="1" applyBorder="1" applyAlignment="1">
      <alignment vertical="center"/>
    </xf>
    <xf numFmtId="49" fontId="5" fillId="52" borderId="27" xfId="0" applyNumberFormat="1" applyFont="1" applyFill="1" applyBorder="1" applyAlignment="1">
      <alignment horizontal="center" vertical="center"/>
    </xf>
    <xf numFmtId="0" fontId="5" fillId="52" borderId="55" xfId="0" applyFont="1" applyFill="1" applyBorder="1" applyAlignment="1">
      <alignment vertical="center"/>
    </xf>
    <xf numFmtId="0" fontId="5" fillId="52" borderId="33" xfId="0" applyFont="1" applyFill="1" applyBorder="1" applyAlignment="1">
      <alignment vertical="center"/>
    </xf>
    <xf numFmtId="49" fontId="5" fillId="52" borderId="71" xfId="0" applyNumberFormat="1" applyFont="1" applyFill="1" applyBorder="1" applyAlignment="1">
      <alignment horizontal="center" vertical="center"/>
    </xf>
    <xf numFmtId="49" fontId="5" fillId="52" borderId="73" xfId="0" applyNumberFormat="1" applyFont="1" applyFill="1" applyBorder="1" applyAlignment="1">
      <alignment horizontal="center" vertical="center"/>
    </xf>
    <xf numFmtId="0" fontId="5" fillId="52" borderId="74" xfId="0" applyFont="1" applyFill="1" applyBorder="1" applyAlignment="1">
      <alignment vertical="center"/>
    </xf>
    <xf numFmtId="0" fontId="5" fillId="51" borderId="27" xfId="0" applyFont="1" applyFill="1" applyBorder="1" applyAlignment="1">
      <alignment vertical="center"/>
    </xf>
    <xf numFmtId="0" fontId="5" fillId="54" borderId="20" xfId="0" applyFont="1" applyFill="1" applyBorder="1" applyAlignment="1">
      <alignment vertical="center"/>
    </xf>
    <xf numFmtId="0" fontId="5" fillId="54" borderId="43" xfId="0" applyFont="1" applyFill="1" applyBorder="1" applyAlignment="1">
      <alignment vertical="center"/>
    </xf>
    <xf numFmtId="164" fontId="16" fillId="50" borderId="1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4" fillId="51" borderId="12" xfId="0" applyNumberFormat="1" applyFont="1" applyFill="1" applyBorder="1" applyAlignment="1">
      <alignment horizontal="center" vertical="center"/>
    </xf>
    <xf numFmtId="164" fontId="4" fillId="51" borderId="67" xfId="0" applyNumberFormat="1" applyFont="1" applyFill="1" applyBorder="1" applyAlignment="1">
      <alignment horizontal="center" vertical="center"/>
    </xf>
    <xf numFmtId="164" fontId="5" fillId="54" borderId="12" xfId="0" applyNumberFormat="1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  <xf numFmtId="164" fontId="7" fillId="56" borderId="67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164" fontId="5" fillId="54" borderId="27" xfId="0" applyNumberFormat="1" applyFont="1" applyFill="1" applyBorder="1" applyAlignment="1">
      <alignment horizontal="center" vertical="center"/>
    </xf>
    <xf numFmtId="164" fontId="5" fillId="54" borderId="43" xfId="0" applyNumberFormat="1" applyFont="1" applyFill="1" applyBorder="1" applyAlignment="1">
      <alignment horizontal="center" vertical="center"/>
    </xf>
    <xf numFmtId="164" fontId="16" fillId="50" borderId="12" xfId="0" applyNumberFormat="1" applyFont="1" applyFill="1" applyBorder="1" applyAlignment="1">
      <alignment horizontal="center" vertical="center"/>
    </xf>
    <xf numFmtId="164" fontId="16" fillId="50" borderId="67" xfId="0" applyNumberFormat="1" applyFont="1" applyFill="1" applyBorder="1" applyAlignment="1">
      <alignment horizontal="center" vertical="center"/>
    </xf>
    <xf numFmtId="0" fontId="5" fillId="52" borderId="21" xfId="0" applyFont="1" applyFill="1" applyBorder="1" applyAlignment="1">
      <alignment horizontal="center" vertical="center"/>
    </xf>
    <xf numFmtId="164" fontId="4" fillId="54" borderId="55" xfId="0" applyNumberFormat="1" applyFont="1" applyFill="1" applyBorder="1" applyAlignment="1">
      <alignment horizontal="center" vertical="center"/>
    </xf>
    <xf numFmtId="164" fontId="4" fillId="54" borderId="55" xfId="0" applyNumberFormat="1" applyFont="1" applyFill="1" applyBorder="1" applyAlignment="1">
      <alignment horizontal="center" vertical="center"/>
    </xf>
    <xf numFmtId="164" fontId="5" fillId="54" borderId="44" xfId="0" applyNumberFormat="1" applyFont="1" applyFill="1" applyBorder="1" applyAlignment="1">
      <alignment horizontal="center" vertical="center"/>
    </xf>
    <xf numFmtId="164" fontId="16" fillId="50" borderId="76" xfId="0" applyNumberFormat="1" applyFont="1" applyFill="1" applyBorder="1" applyAlignment="1">
      <alignment horizontal="center" vertical="center"/>
    </xf>
    <xf numFmtId="49" fontId="0" fillId="50" borderId="25" xfId="0" applyNumberFormat="1" applyFill="1" applyBorder="1" applyAlignment="1">
      <alignment horizontal="center" vertical="center"/>
    </xf>
    <xf numFmtId="49" fontId="7" fillId="50" borderId="77" xfId="0" applyNumberFormat="1" applyFont="1" applyFill="1" applyBorder="1" applyAlignment="1">
      <alignment horizontal="center" vertical="center" wrapText="1"/>
    </xf>
    <xf numFmtId="164" fontId="4" fillId="51" borderId="54" xfId="0" applyNumberFormat="1" applyFont="1" applyFill="1" applyBorder="1" applyAlignment="1">
      <alignment horizontal="center" vertical="center"/>
    </xf>
    <xf numFmtId="164" fontId="5" fillId="54" borderId="54" xfId="0" applyNumberFormat="1" applyFont="1" applyFill="1" applyBorder="1" applyAlignment="1">
      <alignment horizontal="center" vertical="center"/>
    </xf>
    <xf numFmtId="164" fontId="7" fillId="56" borderId="77" xfId="0" applyNumberFormat="1" applyFont="1" applyFill="1" applyBorder="1" applyAlignment="1">
      <alignment horizontal="center" vertical="center"/>
    </xf>
    <xf numFmtId="164" fontId="5" fillId="54" borderId="78" xfId="0" applyNumberFormat="1" applyFont="1" applyFill="1" applyBorder="1" applyAlignment="1">
      <alignment horizontal="center" vertical="center"/>
    </xf>
    <xf numFmtId="164" fontId="7" fillId="56" borderId="33" xfId="0" applyNumberFormat="1" applyFont="1" applyFill="1" applyBorder="1" applyAlignment="1">
      <alignment horizontal="center" vertical="center"/>
    </xf>
    <xf numFmtId="164" fontId="16" fillId="50" borderId="42" xfId="0" applyNumberFormat="1" applyFont="1" applyFill="1" applyBorder="1" applyAlignment="1">
      <alignment horizontal="center" vertical="center"/>
    </xf>
    <xf numFmtId="164" fontId="50" fillId="54" borderId="11" xfId="0" applyNumberFormat="1" applyFont="1" applyFill="1" applyBorder="1" applyAlignment="1" applyProtection="1">
      <alignment horizontal="center"/>
      <protection locked="0"/>
    </xf>
    <xf numFmtId="164" fontId="50" fillId="54" borderId="20" xfId="0" applyNumberFormat="1" applyFont="1" applyFill="1" applyBorder="1" applyAlignment="1" applyProtection="1">
      <alignment horizontal="center"/>
      <protection locked="0"/>
    </xf>
    <xf numFmtId="164" fontId="16" fillId="50" borderId="48" xfId="0" applyNumberFormat="1" applyFont="1" applyFill="1" applyBorder="1" applyAlignment="1">
      <alignment horizontal="center" vertical="center"/>
    </xf>
    <xf numFmtId="164" fontId="4" fillId="54" borderId="69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52" borderId="25" xfId="0" applyNumberFormat="1" applyFill="1" applyBorder="1" applyAlignment="1">
      <alignment horizontal="center" vertical="center"/>
    </xf>
    <xf numFmtId="0" fontId="0" fillId="52" borderId="24" xfId="0" applyNumberFormat="1" applyFill="1" applyBorder="1" applyAlignment="1">
      <alignment horizontal="center" vertical="center"/>
    </xf>
    <xf numFmtId="0" fontId="0" fillId="52" borderId="26" xfId="0" applyNumberFormat="1" applyFill="1" applyBorder="1" applyAlignment="1">
      <alignment horizontal="center" vertical="center"/>
    </xf>
    <xf numFmtId="49" fontId="5" fillId="52" borderId="49" xfId="0" applyNumberFormat="1" applyFont="1" applyFill="1" applyBorder="1" applyAlignment="1">
      <alignment horizontal="center" vertical="center"/>
    </xf>
    <xf numFmtId="0" fontId="5" fillId="52" borderId="49" xfId="0" applyFont="1" applyFill="1" applyBorder="1" applyAlignment="1">
      <alignment vertical="center"/>
    </xf>
    <xf numFmtId="164" fontId="16" fillId="50" borderId="3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6" fillId="51" borderId="17" xfId="0" applyNumberFormat="1" applyFont="1" applyFill="1" applyBorder="1" applyAlignment="1">
      <alignment horizontal="center" vertical="center"/>
    </xf>
    <xf numFmtId="0" fontId="5" fillId="51" borderId="49" xfId="0" applyFont="1" applyFill="1" applyBorder="1" applyAlignment="1">
      <alignment vertical="center"/>
    </xf>
    <xf numFmtId="164" fontId="4" fillId="51" borderId="79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50" fillId="54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77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164" fontId="50" fillId="54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80" xfId="0" applyNumberFormat="1" applyFont="1" applyFill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4" fontId="5" fillId="54" borderId="20" xfId="0" applyNumberFormat="1" applyFont="1" applyFill="1" applyBorder="1" applyAlignment="1">
      <alignment horizontal="center" vertical="center"/>
    </xf>
    <xf numFmtId="164" fontId="16" fillId="50" borderId="61" xfId="0" applyNumberFormat="1" applyFont="1" applyFill="1" applyBorder="1" applyAlignment="1">
      <alignment horizontal="center" vertical="center"/>
    </xf>
    <xf numFmtId="164" fontId="7" fillId="56" borderId="61" xfId="0" applyNumberFormat="1" applyFont="1" applyFill="1" applyBorder="1" applyAlignment="1">
      <alignment horizontal="center" vertical="center"/>
    </xf>
    <xf numFmtId="164" fontId="4" fillId="51" borderId="4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50" borderId="58" xfId="0" applyFont="1" applyFill="1" applyBorder="1" applyAlignment="1">
      <alignment vertical="center"/>
    </xf>
    <xf numFmtId="0" fontId="5" fillId="56" borderId="61" xfId="0" applyFont="1" applyFill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49" fontId="6" fillId="51" borderId="41" xfId="0" applyNumberFormat="1" applyFont="1" applyFill="1" applyBorder="1" applyAlignment="1">
      <alignment horizontal="center" vertical="center"/>
    </xf>
    <xf numFmtId="0" fontId="7" fillId="51" borderId="55" xfId="0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165" fontId="16" fillId="50" borderId="31" xfId="0" applyNumberFormat="1" applyFont="1" applyFill="1" applyBorder="1" applyAlignment="1">
      <alignment horizontal="center" vertical="center"/>
    </xf>
    <xf numFmtId="165" fontId="16" fillId="50" borderId="70" xfId="0" applyNumberFormat="1" applyFont="1" applyFill="1" applyBorder="1" applyAlignment="1">
      <alignment horizontal="center" vertical="center"/>
    </xf>
    <xf numFmtId="165" fontId="16" fillId="50" borderId="23" xfId="0" applyNumberFormat="1" applyFont="1" applyFill="1" applyBorder="1" applyAlignment="1">
      <alignment horizontal="center" vertical="center"/>
    </xf>
    <xf numFmtId="165" fontId="16" fillId="50" borderId="56" xfId="0" applyNumberFormat="1" applyFont="1" applyFill="1" applyBorder="1" applyAlignment="1">
      <alignment horizontal="center" vertical="center"/>
    </xf>
    <xf numFmtId="165" fontId="16" fillId="50" borderId="58" xfId="0" applyNumberFormat="1" applyFont="1" applyFill="1" applyBorder="1" applyAlignment="1">
      <alignment horizontal="center" vertical="center"/>
    </xf>
    <xf numFmtId="165" fontId="16" fillId="50" borderId="57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5" fontId="4" fillId="51" borderId="17" xfId="0" applyNumberFormat="1" applyFont="1" applyFill="1" applyBorder="1" applyAlignment="1">
      <alignment horizontal="center" vertical="center"/>
    </xf>
    <xf numFmtId="165" fontId="4" fillId="51" borderId="49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51" borderId="16" xfId="0" applyNumberFormat="1" applyFont="1" applyFill="1" applyBorder="1" applyAlignment="1">
      <alignment horizontal="center" vertical="center"/>
    </xf>
    <xf numFmtId="165" fontId="4" fillId="51" borderId="21" xfId="0" applyNumberFormat="1" applyFont="1" applyFill="1" applyBorder="1" applyAlignment="1">
      <alignment horizontal="center" vertical="center"/>
    </xf>
    <xf numFmtId="165" fontId="4" fillId="51" borderId="35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4" fillId="51" borderId="60" xfId="0" applyNumberFormat="1" applyFont="1" applyFill="1" applyBorder="1" applyAlignment="1">
      <alignment horizontal="center" vertical="center"/>
    </xf>
    <xf numFmtId="165" fontId="4" fillId="51" borderId="59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54" borderId="68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horizontal="center" vertical="center"/>
    </xf>
    <xf numFmtId="165" fontId="5" fillId="54" borderId="69" xfId="0" applyNumberFormat="1" applyFont="1" applyFill="1" applyBorder="1" applyAlignment="1">
      <alignment horizontal="center" vertical="center"/>
    </xf>
    <xf numFmtId="165" fontId="5" fillId="54" borderId="44" xfId="0" applyNumberFormat="1" applyFont="1" applyFill="1" applyBorder="1" applyAlignment="1">
      <alignment horizontal="center" vertical="center"/>
    </xf>
    <xf numFmtId="0" fontId="5" fillId="52" borderId="63" xfId="0" applyFont="1" applyFill="1" applyBorder="1" applyAlignment="1">
      <alignment horizontal="center" vertical="center"/>
    </xf>
    <xf numFmtId="49" fontId="5" fillId="52" borderId="63" xfId="0" applyNumberFormat="1" applyFont="1" applyFill="1" applyBorder="1" applyAlignment="1">
      <alignment horizontal="center" vertical="center"/>
    </xf>
    <xf numFmtId="0" fontId="5" fillId="52" borderId="82" xfId="0" applyFont="1" applyFill="1" applyBorder="1" applyAlignment="1">
      <alignment horizontal="center" vertical="center"/>
    </xf>
    <xf numFmtId="49" fontId="5" fillId="52" borderId="82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7" fillId="50" borderId="74" xfId="0" applyNumberFormat="1" applyFont="1" applyFill="1" applyBorder="1" applyAlignment="1">
      <alignment horizontal="center" vertical="center" wrapText="1"/>
    </xf>
    <xf numFmtId="49" fontId="7" fillId="50" borderId="83" xfId="0" applyNumberFormat="1" applyFont="1" applyFill="1" applyBorder="1" applyAlignment="1">
      <alignment horizontal="center" vertical="center" wrapText="1"/>
    </xf>
    <xf numFmtId="0" fontId="16" fillId="56" borderId="61" xfId="0" applyFont="1" applyFill="1" applyBorder="1" applyAlignment="1">
      <alignment vertical="center"/>
    </xf>
    <xf numFmtId="0" fontId="5" fillId="56" borderId="66" xfId="0" applyFont="1" applyFill="1" applyBorder="1" applyAlignment="1">
      <alignment vertical="center"/>
    </xf>
    <xf numFmtId="165" fontId="7" fillId="56" borderId="19" xfId="0" applyNumberFormat="1" applyFont="1" applyFill="1" applyBorder="1" applyAlignment="1">
      <alignment horizontal="center" vertical="center"/>
    </xf>
    <xf numFmtId="165" fontId="7" fillId="56" borderId="0" xfId="0" applyNumberFormat="1" applyFont="1" applyFill="1" applyBorder="1" applyAlignment="1">
      <alignment horizontal="center" vertical="center"/>
    </xf>
    <xf numFmtId="165" fontId="7" fillId="56" borderId="18" xfId="0" applyNumberFormat="1" applyFont="1" applyFill="1" applyBorder="1" applyAlignment="1">
      <alignment horizontal="center" vertical="center"/>
    </xf>
    <xf numFmtId="165" fontId="7" fillId="56" borderId="32" xfId="0" applyNumberFormat="1" applyFont="1" applyFill="1" applyBorder="1" applyAlignment="1">
      <alignment horizontal="center" vertical="center"/>
    </xf>
    <xf numFmtId="165" fontId="7" fillId="56" borderId="33" xfId="0" applyNumberFormat="1" applyFont="1" applyFill="1" applyBorder="1" applyAlignment="1">
      <alignment horizontal="center" vertical="center"/>
    </xf>
    <xf numFmtId="165" fontId="7" fillId="56" borderId="34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57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/>
    </xf>
    <xf numFmtId="165" fontId="5" fillId="54" borderId="11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52" borderId="41" xfId="0" applyNumberFormat="1" applyFont="1" applyFill="1" applyBorder="1" applyAlignment="1">
      <alignment horizontal="center" vertical="center"/>
    </xf>
    <xf numFmtId="0" fontId="5" fillId="52" borderId="11" xfId="0" applyFont="1" applyFill="1" applyBorder="1" applyAlignment="1">
      <alignment vertical="center"/>
    </xf>
    <xf numFmtId="0" fontId="7" fillId="51" borderId="21" xfId="0" applyFont="1" applyFill="1" applyBorder="1" applyAlignment="1">
      <alignment vertical="center"/>
    </xf>
    <xf numFmtId="165" fontId="4" fillId="0" borderId="22" xfId="0" applyNumberFormat="1" applyFont="1" applyFill="1" applyBorder="1" applyAlignment="1">
      <alignment horizontal="center" vertical="center"/>
    </xf>
    <xf numFmtId="49" fontId="22" fillId="54" borderId="21" xfId="0" applyNumberFormat="1" applyFont="1" applyFill="1" applyBorder="1" applyAlignment="1">
      <alignment horizontal="center" vertical="center"/>
    </xf>
    <xf numFmtId="0" fontId="5" fillId="54" borderId="21" xfId="0" applyFont="1" applyFill="1" applyBorder="1" applyAlignment="1">
      <alignment vertical="center"/>
    </xf>
    <xf numFmtId="165" fontId="5" fillId="54" borderId="21" xfId="0" applyNumberFormat="1" applyFont="1" applyFill="1" applyBorder="1" applyAlignment="1">
      <alignment horizontal="center" vertical="center"/>
    </xf>
    <xf numFmtId="165" fontId="5" fillId="54" borderId="22" xfId="0" applyNumberFormat="1" applyFont="1" applyFill="1" applyBorder="1" applyAlignment="1">
      <alignment horizontal="center" vertical="center"/>
    </xf>
    <xf numFmtId="165" fontId="5" fillId="54" borderId="17" xfId="0" applyNumberFormat="1" applyFont="1" applyFill="1" applyBorder="1" applyAlignment="1">
      <alignment horizontal="center" vertical="center"/>
    </xf>
    <xf numFmtId="165" fontId="5" fillId="54" borderId="0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5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2" fillId="54" borderId="35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6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64" fontId="16" fillId="50" borderId="84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5" fillId="56" borderId="63" xfId="0" applyFont="1" applyFill="1" applyBorder="1" applyAlignment="1">
      <alignment horizontal="center"/>
    </xf>
    <xf numFmtId="0" fontId="16" fillId="56" borderId="61" xfId="0" applyFont="1" applyFill="1" applyBorder="1" applyAlignment="1">
      <alignment/>
    </xf>
    <xf numFmtId="0" fontId="5" fillId="56" borderId="61" xfId="0" applyFont="1" applyFill="1" applyBorder="1" applyAlignment="1">
      <alignment/>
    </xf>
    <xf numFmtId="0" fontId="2" fillId="0" borderId="56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2" fillId="52" borderId="85" xfId="0" applyFont="1" applyFill="1" applyBorder="1" applyAlignment="1">
      <alignment horizontal="center" vertical="center"/>
    </xf>
    <xf numFmtId="0" fontId="5" fillId="52" borderId="73" xfId="0" applyFont="1" applyFill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164" fontId="7" fillId="56" borderId="22" xfId="0" applyNumberFormat="1" applyFont="1" applyFill="1" applyBorder="1" applyAlignment="1">
      <alignment horizontal="center" vertical="center"/>
    </xf>
    <xf numFmtId="164" fontId="7" fillId="56" borderId="40" xfId="0" applyNumberFormat="1" applyFont="1" applyFill="1" applyBorder="1" applyAlignment="1">
      <alignment horizontal="center" vertical="center"/>
    </xf>
    <xf numFmtId="49" fontId="7" fillId="51" borderId="11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7" fillId="56" borderId="59" xfId="0" applyNumberFormat="1" applyFont="1" applyFill="1" applyBorder="1" applyAlignment="1">
      <alignment horizontal="center" vertical="center"/>
    </xf>
    <xf numFmtId="164" fontId="4" fillId="51" borderId="67" xfId="0" applyNumberFormat="1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>
      <alignment horizontal="center" vertical="center"/>
    </xf>
    <xf numFmtId="164" fontId="5" fillId="54" borderId="81" xfId="0" applyNumberFormat="1" applyFont="1" applyFill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3" fillId="52" borderId="16" xfId="0" applyFont="1" applyFill="1" applyBorder="1" applyAlignment="1">
      <alignment horizontal="center" vertical="center"/>
    </xf>
    <xf numFmtId="49" fontId="14" fillId="52" borderId="11" xfId="0" applyNumberFormat="1" applyFont="1" applyFill="1" applyBorder="1" applyAlignment="1">
      <alignment horizontal="center" vertical="center"/>
    </xf>
    <xf numFmtId="0" fontId="23" fillId="52" borderId="18" xfId="0" applyFont="1" applyFill="1" applyBorder="1" applyAlignment="1">
      <alignment horizontal="center" vertical="center"/>
    </xf>
    <xf numFmtId="0" fontId="14" fillId="52" borderId="11" xfId="0" applyFont="1" applyFill="1" applyBorder="1" applyAlignment="1">
      <alignment vertical="center"/>
    </xf>
    <xf numFmtId="0" fontId="23" fillId="52" borderId="40" xfId="0" applyFont="1" applyFill="1" applyBorder="1" applyAlignment="1">
      <alignment horizontal="center" vertical="center"/>
    </xf>
    <xf numFmtId="0" fontId="2" fillId="50" borderId="18" xfId="0" applyFont="1" applyFill="1" applyBorder="1" applyAlignment="1">
      <alignment horizontal="center" vertical="center"/>
    </xf>
    <xf numFmtId="0" fontId="5" fillId="50" borderId="0" xfId="0" applyFont="1" applyFill="1" applyBorder="1" applyAlignment="1">
      <alignment vertical="center"/>
    </xf>
    <xf numFmtId="0" fontId="5" fillId="50" borderId="22" xfId="0" applyFont="1" applyFill="1" applyBorder="1" applyAlignment="1">
      <alignment vertical="center"/>
    </xf>
    <xf numFmtId="164" fontId="16" fillId="50" borderId="19" xfId="0" applyNumberFormat="1" applyFont="1" applyFill="1" applyBorder="1" applyAlignment="1">
      <alignment horizontal="center" vertical="center"/>
    </xf>
    <xf numFmtId="164" fontId="7" fillId="56" borderId="0" xfId="0" applyNumberFormat="1" applyFont="1" applyFill="1" applyBorder="1" applyAlignment="1">
      <alignment horizontal="center" vertical="center"/>
    </xf>
    <xf numFmtId="164" fontId="4" fillId="51" borderId="3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5" fillId="0" borderId="11" xfId="67" applyNumberFormat="1" applyFont="1" applyFill="1" applyBorder="1" applyAlignment="1">
      <alignment horizontal="center" vertical="center"/>
      <protection/>
    </xf>
    <xf numFmtId="164" fontId="6" fillId="0" borderId="34" xfId="0" applyNumberFormat="1" applyFont="1" applyFill="1" applyBorder="1" applyAlignment="1">
      <alignment horizontal="center" vertical="center"/>
    </xf>
    <xf numFmtId="164" fontId="6" fillId="54" borderId="42" xfId="0" applyNumberFormat="1" applyFont="1" applyFill="1" applyBorder="1" applyAlignment="1">
      <alignment horizontal="center" vertical="center"/>
    </xf>
    <xf numFmtId="164" fontId="6" fillId="54" borderId="67" xfId="0" applyNumberFormat="1" applyFont="1" applyFill="1" applyBorder="1" applyAlignment="1">
      <alignment horizontal="center" vertical="center"/>
    </xf>
    <xf numFmtId="164" fontId="7" fillId="56" borderId="49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5" fontId="5" fillId="0" borderId="11" xfId="67" applyNumberFormat="1" applyFont="1" applyFill="1" applyBorder="1" applyAlignment="1">
      <alignment horizontal="center" vertical="center"/>
      <protection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5" fontId="5" fillId="0" borderId="11" xfId="67" applyNumberFormat="1" applyFont="1" applyFill="1" applyBorder="1" applyAlignment="1">
      <alignment horizontal="center" vertical="center"/>
      <protection/>
    </xf>
    <xf numFmtId="164" fontId="4" fillId="51" borderId="61" xfId="0" applyNumberFormat="1" applyFont="1" applyFill="1" applyBorder="1" applyAlignment="1">
      <alignment horizontal="center" vertical="center"/>
    </xf>
    <xf numFmtId="164" fontId="5" fillId="0" borderId="11" xfId="67" applyNumberFormat="1" applyFont="1" applyFill="1" applyBorder="1" applyAlignment="1">
      <alignment horizontal="center" vertical="center"/>
      <protection/>
    </xf>
    <xf numFmtId="164" fontId="2" fillId="0" borderId="11" xfId="67" applyNumberFormat="1" applyFont="1" applyFill="1" applyBorder="1" applyAlignment="1">
      <alignment horizontal="center" vertical="center"/>
      <protection/>
    </xf>
    <xf numFmtId="164" fontId="31" fillId="0" borderId="11" xfId="0" applyNumberFormat="1" applyFont="1" applyFill="1" applyBorder="1" applyAlignment="1">
      <alignment horizontal="center" vertical="center"/>
    </xf>
    <xf numFmtId="164" fontId="31" fillId="51" borderId="11" xfId="67" applyNumberFormat="1" applyFont="1" applyFill="1" applyBorder="1" applyAlignment="1">
      <alignment horizontal="center" vertical="center"/>
      <protection/>
    </xf>
    <xf numFmtId="164" fontId="31" fillId="51" borderId="11" xfId="0" applyNumberFormat="1" applyFont="1" applyFill="1" applyBorder="1" applyAlignment="1">
      <alignment horizontal="center" vertical="center"/>
    </xf>
    <xf numFmtId="164" fontId="4" fillId="51" borderId="61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4" fillId="54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164" fontId="4" fillId="54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6" fillId="54" borderId="59" xfId="0" applyNumberFormat="1" applyFont="1" applyFill="1" applyBorder="1" applyAlignment="1">
      <alignment horizontal="center" vertical="center"/>
    </xf>
    <xf numFmtId="164" fontId="6" fillId="54" borderId="8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164" fontId="4" fillId="54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6" fillId="54" borderId="44" xfId="0" applyNumberFormat="1" applyFont="1" applyFill="1" applyBorder="1" applyAlignment="1">
      <alignment horizontal="center" vertical="center"/>
    </xf>
    <xf numFmtId="164" fontId="6" fillId="54" borderId="7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center"/>
    </xf>
    <xf numFmtId="0" fontId="5" fillId="54" borderId="67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5" fillId="52" borderId="21" xfId="0" applyFont="1" applyFill="1" applyBorder="1" applyAlignment="1">
      <alignment vertical="center"/>
    </xf>
    <xf numFmtId="0" fontId="5" fillId="52" borderId="87" xfId="0" applyFont="1" applyFill="1" applyBorder="1" applyAlignment="1">
      <alignment vertical="center"/>
    </xf>
    <xf numFmtId="0" fontId="5" fillId="50" borderId="70" xfId="0" applyFont="1" applyFill="1" applyBorder="1" applyAlignment="1">
      <alignment vertical="center"/>
    </xf>
    <xf numFmtId="164" fontId="17" fillId="50" borderId="31" xfId="0" applyNumberFormat="1" applyFont="1" applyFill="1" applyBorder="1" applyAlignment="1">
      <alignment horizontal="center" vertical="center"/>
    </xf>
    <xf numFmtId="164" fontId="17" fillId="50" borderId="58" xfId="0" applyNumberFormat="1" applyFont="1" applyFill="1" applyBorder="1" applyAlignment="1">
      <alignment horizontal="center" vertical="center"/>
    </xf>
    <xf numFmtId="164" fontId="17" fillId="50" borderId="14" xfId="0" applyNumberFormat="1" applyFont="1" applyFill="1" applyBorder="1" applyAlignment="1">
      <alignment horizontal="center" vertical="center"/>
    </xf>
    <xf numFmtId="164" fontId="17" fillId="50" borderId="56" xfId="0" applyNumberFormat="1" applyFont="1" applyFill="1" applyBorder="1" applyAlignment="1">
      <alignment horizontal="center" vertical="center"/>
    </xf>
    <xf numFmtId="164" fontId="17" fillId="50" borderId="0" xfId="0" applyNumberFormat="1" applyFont="1" applyFill="1" applyBorder="1" applyAlignment="1">
      <alignment horizontal="center" vertical="center"/>
    </xf>
    <xf numFmtId="164" fontId="17" fillId="50" borderId="57" xfId="0" applyNumberFormat="1" applyFont="1" applyFill="1" applyBorder="1" applyAlignment="1">
      <alignment horizontal="center" vertical="center"/>
    </xf>
    <xf numFmtId="0" fontId="15" fillId="56" borderId="22" xfId="0" applyFont="1" applyFill="1" applyBorder="1" applyAlignment="1">
      <alignment horizontal="center" vertical="center"/>
    </xf>
    <xf numFmtId="0" fontId="16" fillId="56" borderId="0" xfId="0" applyFont="1" applyFill="1" applyBorder="1" applyAlignment="1">
      <alignment vertical="center"/>
    </xf>
    <xf numFmtId="164" fontId="7" fillId="56" borderId="88" xfId="0" applyNumberFormat="1" applyFont="1" applyFill="1" applyBorder="1" applyAlignment="1">
      <alignment horizontal="center" vertical="center"/>
    </xf>
    <xf numFmtId="164" fontId="4" fillId="51" borderId="19" xfId="0" applyNumberFormat="1" applyFont="1" applyFill="1" applyBorder="1" applyAlignment="1">
      <alignment horizontal="center" vertical="center"/>
    </xf>
    <xf numFmtId="164" fontId="5" fillId="54" borderId="21" xfId="0" applyNumberFormat="1" applyFont="1" applyFill="1" applyBorder="1" applyAlignment="1">
      <alignment horizontal="center" vertical="center"/>
    </xf>
    <xf numFmtId="164" fontId="5" fillId="54" borderId="6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54" borderId="20" xfId="0" applyFont="1" applyFill="1" applyBorder="1" applyAlignment="1">
      <alignment vertical="center"/>
    </xf>
    <xf numFmtId="49" fontId="6" fillId="51" borderId="2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7" fillId="56" borderId="63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56" borderId="65" xfId="0" applyNumberFormat="1" applyFont="1" applyFill="1" applyBorder="1" applyAlignment="1">
      <alignment horizontal="center" vertical="center"/>
    </xf>
    <xf numFmtId="165" fontId="7" fillId="56" borderId="48" xfId="0" applyNumberFormat="1" applyFont="1" applyFill="1" applyBorder="1" applyAlignment="1">
      <alignment horizontal="center" vertical="center"/>
    </xf>
    <xf numFmtId="165" fontId="7" fillId="56" borderId="66" xfId="0" applyNumberFormat="1" applyFont="1" applyFill="1" applyBorder="1" applyAlignment="1">
      <alignment horizontal="center" vertical="center"/>
    </xf>
    <xf numFmtId="0" fontId="9" fillId="50" borderId="70" xfId="0" applyFont="1" applyFill="1" applyBorder="1" applyAlignment="1">
      <alignment horizontal="left" vertical="center"/>
    </xf>
    <xf numFmtId="0" fontId="10" fillId="50" borderId="70" xfId="0" applyFont="1" applyFill="1" applyBorder="1" applyAlignment="1">
      <alignment vertical="center"/>
    </xf>
    <xf numFmtId="165" fontId="16" fillId="0" borderId="70" xfId="0" applyNumberFormat="1" applyFont="1" applyFill="1" applyBorder="1" applyAlignment="1">
      <alignment horizontal="center" vertical="center"/>
    </xf>
    <xf numFmtId="0" fontId="16" fillId="56" borderId="64" xfId="0" applyFont="1" applyFill="1" applyBorder="1" applyAlignment="1">
      <alignment vertical="center"/>
    </xf>
    <xf numFmtId="164" fontId="7" fillId="56" borderId="18" xfId="0" applyNumberFormat="1" applyFont="1" applyFill="1" applyBorder="1" applyAlignment="1">
      <alignment horizontal="center" vertical="center"/>
    </xf>
    <xf numFmtId="164" fontId="7" fillId="56" borderId="89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16" fillId="50" borderId="90" xfId="0" applyNumberFormat="1" applyFont="1" applyFill="1" applyBorder="1" applyAlignment="1">
      <alignment horizontal="center" vertical="center"/>
    </xf>
    <xf numFmtId="0" fontId="5" fillId="56" borderId="64" xfId="0" applyFont="1" applyFill="1" applyBorder="1" applyAlignment="1">
      <alignment vertical="center"/>
    </xf>
    <xf numFmtId="0" fontId="9" fillId="50" borderId="14" xfId="0" applyFont="1" applyFill="1" applyBorder="1" applyAlignment="1">
      <alignment horizontal="left" vertical="center"/>
    </xf>
    <xf numFmtId="164" fontId="16" fillId="50" borderId="23" xfId="0" applyNumberFormat="1" applyFont="1" applyFill="1" applyBorder="1" applyAlignment="1">
      <alignment horizontal="center" vertical="center"/>
    </xf>
    <xf numFmtId="164" fontId="7" fillId="56" borderId="32" xfId="0" applyNumberFormat="1" applyFont="1" applyFill="1" applyBorder="1" applyAlignment="1">
      <alignment horizontal="center" vertical="center"/>
    </xf>
    <xf numFmtId="164" fontId="5" fillId="56" borderId="63" xfId="0" applyNumberFormat="1" applyFont="1" applyFill="1" applyBorder="1" applyAlignment="1">
      <alignment horizontal="center" vertical="center"/>
    </xf>
    <xf numFmtId="164" fontId="5" fillId="56" borderId="64" xfId="0" applyNumberFormat="1" applyFont="1" applyFill="1" applyBorder="1" applyAlignment="1">
      <alignment horizontal="center" vertical="center"/>
    </xf>
    <xf numFmtId="164" fontId="5" fillId="56" borderId="48" xfId="0" applyNumberFormat="1" applyFont="1" applyFill="1" applyBorder="1" applyAlignment="1">
      <alignment horizontal="center" vertical="center"/>
    </xf>
    <xf numFmtId="164" fontId="5" fillId="56" borderId="61" xfId="0" applyNumberFormat="1" applyFont="1" applyFill="1" applyBorder="1" applyAlignment="1">
      <alignment horizontal="center" vertical="center"/>
    </xf>
    <xf numFmtId="164" fontId="5" fillId="56" borderId="65" xfId="0" applyNumberFormat="1" applyFont="1" applyFill="1" applyBorder="1" applyAlignment="1">
      <alignment horizontal="center" vertical="center"/>
    </xf>
    <xf numFmtId="164" fontId="5" fillId="56" borderId="66" xfId="0" applyNumberFormat="1" applyFont="1" applyFill="1" applyBorder="1" applyAlignment="1">
      <alignment horizontal="center" vertical="center"/>
    </xf>
    <xf numFmtId="164" fontId="17" fillId="50" borderId="70" xfId="0" applyNumberFormat="1" applyFont="1" applyFill="1" applyBorder="1" applyAlignment="1">
      <alignment horizontal="center" vertical="center"/>
    </xf>
    <xf numFmtId="164" fontId="16" fillId="50" borderId="70" xfId="0" applyNumberFormat="1" applyFont="1" applyFill="1" applyBorder="1" applyAlignment="1">
      <alignment horizontal="center" vertical="center"/>
    </xf>
    <xf numFmtId="164" fontId="16" fillId="50" borderId="23" xfId="0" applyNumberFormat="1" applyFont="1" applyFill="1" applyBorder="1" applyAlignment="1">
      <alignment horizontal="center" vertical="center"/>
    </xf>
    <xf numFmtId="164" fontId="16" fillId="50" borderId="57" xfId="0" applyNumberFormat="1" applyFont="1" applyFill="1" applyBorder="1" applyAlignment="1">
      <alignment horizontal="center" vertical="center"/>
    </xf>
    <xf numFmtId="164" fontId="16" fillId="50" borderId="31" xfId="0" applyNumberFormat="1" applyFont="1" applyFill="1" applyBorder="1" applyAlignment="1">
      <alignment horizontal="center" vertical="center"/>
    </xf>
    <xf numFmtId="164" fontId="18" fillId="0" borderId="70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/>
    </xf>
    <xf numFmtId="164" fontId="16" fillId="50" borderId="9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16" fillId="0" borderId="70" xfId="0" applyNumberFormat="1" applyFont="1" applyFill="1" applyBorder="1" applyAlignment="1">
      <alignment horizontal="center" vertical="center"/>
    </xf>
    <xf numFmtId="164" fontId="16" fillId="0" borderId="70" xfId="0" applyNumberFormat="1" applyFont="1" applyFill="1" applyBorder="1" applyAlignment="1">
      <alignment vertical="center"/>
    </xf>
    <xf numFmtId="0" fontId="5" fillId="52" borderId="67" xfId="0" applyFont="1" applyFill="1" applyBorder="1" applyAlignment="1">
      <alignment vertical="center"/>
    </xf>
    <xf numFmtId="49" fontId="5" fillId="52" borderId="32" xfId="0" applyNumberFormat="1" applyFont="1" applyFill="1" applyBorder="1" applyAlignment="1">
      <alignment horizontal="center" vertical="center"/>
    </xf>
    <xf numFmtId="0" fontId="5" fillId="56" borderId="0" xfId="0" applyFont="1" applyFill="1" applyBorder="1" applyAlignment="1">
      <alignment vertical="center"/>
    </xf>
    <xf numFmtId="164" fontId="5" fillId="56" borderId="7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54" borderId="11" xfId="0" applyFont="1" applyFill="1" applyBorder="1" applyAlignment="1">
      <alignment vertical="center"/>
    </xf>
    <xf numFmtId="164" fontId="5" fillId="54" borderId="4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54" borderId="11" xfId="0" applyNumberFormat="1" applyFill="1" applyBorder="1" applyAlignment="1">
      <alignment horizontal="center" vertical="center"/>
    </xf>
    <xf numFmtId="0" fontId="5" fillId="56" borderId="11" xfId="0" applyNumberFormat="1" applyFont="1" applyFill="1" applyBorder="1" applyAlignment="1">
      <alignment vertical="center"/>
    </xf>
    <xf numFmtId="0" fontId="7" fillId="51" borderId="11" xfId="0" applyNumberFormat="1" applyFont="1" applyFill="1" applyBorder="1" applyAlignment="1">
      <alignment horizontal="left" vertical="center"/>
    </xf>
    <xf numFmtId="0" fontId="2" fillId="5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5" fillId="51" borderId="11" xfId="0" applyNumberFormat="1" applyFont="1" applyFill="1" applyBorder="1" applyAlignment="1">
      <alignment horizontal="center" vertical="center"/>
    </xf>
    <xf numFmtId="165" fontId="2" fillId="54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5" fontId="2" fillId="54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0" xfId="0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54" borderId="2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4" fontId="16" fillId="50" borderId="91" xfId="0" applyNumberFormat="1" applyFont="1" applyFill="1" applyBorder="1" applyAlignment="1">
      <alignment horizontal="center" vertical="center"/>
    </xf>
    <xf numFmtId="165" fontId="16" fillId="50" borderId="31" xfId="0" applyNumberFormat="1" applyFont="1" applyFill="1" applyBorder="1" applyAlignment="1">
      <alignment horizontal="center"/>
    </xf>
    <xf numFmtId="165" fontId="16" fillId="50" borderId="70" xfId="0" applyNumberFormat="1" applyFont="1" applyFill="1" applyBorder="1" applyAlignment="1">
      <alignment horizontal="center"/>
    </xf>
    <xf numFmtId="165" fontId="16" fillId="50" borderId="57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4" fillId="51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51" borderId="12" xfId="0" applyNumberFormat="1" applyFont="1" applyFill="1" applyBorder="1" applyAlignment="1">
      <alignment horizontal="center"/>
    </xf>
    <xf numFmtId="165" fontId="4" fillId="51" borderId="67" xfId="0" applyNumberFormat="1" applyFont="1" applyFill="1" applyBorder="1" applyAlignment="1">
      <alignment horizontal="center"/>
    </xf>
    <xf numFmtId="165" fontId="4" fillId="51" borderId="42" xfId="0" applyNumberFormat="1" applyFont="1" applyFill="1" applyBorder="1" applyAlignment="1">
      <alignment horizontal="center"/>
    </xf>
    <xf numFmtId="164" fontId="2" fillId="54" borderId="11" xfId="0" applyNumberFormat="1" applyFont="1" applyFill="1" applyBorder="1" applyAlignment="1" applyProtection="1">
      <alignment horizontal="center"/>
      <protection locked="0"/>
    </xf>
    <xf numFmtId="165" fontId="5" fillId="54" borderId="1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54" borderId="59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67" xfId="0" applyNumberFormat="1" applyFont="1" applyFill="1" applyBorder="1" applyAlignment="1">
      <alignment horizontal="center"/>
    </xf>
    <xf numFmtId="165" fontId="5" fillId="51" borderId="42" xfId="0" applyNumberFormat="1" applyFont="1" applyFill="1" applyBorder="1" applyAlignment="1">
      <alignment horizontal="center"/>
    </xf>
    <xf numFmtId="165" fontId="5" fillId="54" borderId="42" xfId="0" applyNumberFormat="1" applyFont="1" applyFill="1" applyBorder="1" applyAlignment="1">
      <alignment horizontal="center"/>
    </xf>
    <xf numFmtId="165" fontId="5" fillId="51" borderId="59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54" borderId="21" xfId="0" applyNumberFormat="1" applyFont="1" applyFill="1" applyBorder="1" applyAlignment="1">
      <alignment horizontal="center"/>
    </xf>
    <xf numFmtId="165" fontId="5" fillId="0" borderId="62" xfId="0" applyNumberFormat="1" applyFont="1" applyFill="1" applyBorder="1" applyAlignment="1">
      <alignment horizontal="center"/>
    </xf>
    <xf numFmtId="165" fontId="5" fillId="54" borderId="67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165" fontId="5" fillId="54" borderId="37" xfId="0" applyNumberFormat="1" applyFont="1" applyFill="1" applyBorder="1" applyAlignment="1">
      <alignment horizontal="center"/>
    </xf>
    <xf numFmtId="165" fontId="5" fillId="0" borderId="92" xfId="0" applyNumberFormat="1" applyFont="1" applyFill="1" applyBorder="1" applyAlignment="1">
      <alignment horizontal="center"/>
    </xf>
    <xf numFmtId="165" fontId="5" fillId="0" borderId="93" xfId="0" applyNumberFormat="1" applyFont="1" applyFill="1" applyBorder="1" applyAlignment="1">
      <alignment horizontal="center"/>
    </xf>
    <xf numFmtId="165" fontId="5" fillId="54" borderId="9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54" borderId="44" xfId="0" applyNumberFormat="1" applyFont="1" applyFill="1" applyBorder="1" applyAlignment="1">
      <alignment horizontal="center"/>
    </xf>
    <xf numFmtId="165" fontId="5" fillId="54" borderId="20" xfId="0" applyNumberFormat="1" applyFont="1" applyFill="1" applyBorder="1" applyAlignment="1">
      <alignment horizontal="center"/>
    </xf>
    <xf numFmtId="165" fontId="5" fillId="0" borderId="6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9" fontId="6" fillId="51" borderId="63" xfId="0" applyNumberFormat="1" applyFont="1" applyFill="1" applyBorder="1" applyAlignment="1">
      <alignment horizontal="center"/>
    </xf>
    <xf numFmtId="49" fontId="7" fillId="51" borderId="63" xfId="0" applyNumberFormat="1" applyFont="1" applyFill="1" applyBorder="1" applyAlignment="1">
      <alignment horizontal="left"/>
    </xf>
    <xf numFmtId="0" fontId="7" fillId="51" borderId="63" xfId="0" applyFont="1" applyFill="1" applyBorder="1" applyAlignment="1">
      <alignment/>
    </xf>
    <xf numFmtId="165" fontId="4" fillId="51" borderId="63" xfId="0" applyNumberFormat="1" applyFont="1" applyFill="1" applyBorder="1" applyAlignment="1">
      <alignment horizontal="center"/>
    </xf>
    <xf numFmtId="164" fontId="4" fillId="51" borderId="48" xfId="0" applyNumberFormat="1" applyFont="1" applyFill="1" applyBorder="1" applyAlignment="1">
      <alignment horizontal="center" vertical="center"/>
    </xf>
    <xf numFmtId="165" fontId="4" fillId="51" borderId="94" xfId="0" applyNumberFormat="1" applyFont="1" applyFill="1" applyBorder="1" applyAlignment="1">
      <alignment horizontal="center"/>
    </xf>
    <xf numFmtId="165" fontId="4" fillId="51" borderId="40" xfId="0" applyNumberFormat="1" applyFont="1" applyFill="1" applyBorder="1" applyAlignment="1">
      <alignment horizontal="center"/>
    </xf>
    <xf numFmtId="165" fontId="5" fillId="51" borderId="95" xfId="0" applyNumberFormat="1" applyFont="1" applyFill="1" applyBorder="1" applyAlignment="1">
      <alignment horizontal="center"/>
    </xf>
    <xf numFmtId="165" fontId="5" fillId="0" borderId="61" xfId="0" applyNumberFormat="1" applyFont="1" applyFill="1" applyBorder="1" applyAlignment="1">
      <alignment horizontal="center"/>
    </xf>
    <xf numFmtId="49" fontId="7" fillId="50" borderId="47" xfId="0" applyNumberFormat="1" applyFont="1" applyFill="1" applyBorder="1" applyAlignment="1">
      <alignment horizontal="center" vertical="center" wrapText="1"/>
    </xf>
    <xf numFmtId="49" fontId="7" fillId="50" borderId="26" xfId="0" applyNumberFormat="1" applyFont="1" applyFill="1" applyBorder="1" applyAlignment="1">
      <alignment horizontal="center" vertical="center" wrapText="1"/>
    </xf>
    <xf numFmtId="165" fontId="5" fillId="54" borderId="81" xfId="0" applyNumberFormat="1" applyFont="1" applyFill="1" applyBorder="1" applyAlignment="1">
      <alignment horizontal="center"/>
    </xf>
    <xf numFmtId="0" fontId="5" fillId="52" borderId="19" xfId="0" applyFont="1" applyFill="1" applyBorder="1" applyAlignment="1">
      <alignment/>
    </xf>
    <xf numFmtId="0" fontId="5" fillId="56" borderId="65" xfId="0" applyFont="1" applyFill="1" applyBorder="1" applyAlignment="1">
      <alignment/>
    </xf>
    <xf numFmtId="165" fontId="7" fillId="56" borderId="22" xfId="0" applyNumberFormat="1" applyFont="1" applyFill="1" applyBorder="1" applyAlignment="1">
      <alignment horizontal="center"/>
    </xf>
    <xf numFmtId="165" fontId="7" fillId="56" borderId="40" xfId="0" applyNumberFormat="1" applyFont="1" applyFill="1" applyBorder="1" applyAlignment="1">
      <alignment horizontal="center"/>
    </xf>
    <xf numFmtId="165" fontId="7" fillId="56" borderId="63" xfId="0" applyNumberFormat="1" applyFont="1" applyFill="1" applyBorder="1" applyAlignment="1">
      <alignment horizontal="center"/>
    </xf>
    <xf numFmtId="165" fontId="7" fillId="56" borderId="34" xfId="0" applyNumberFormat="1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165" fontId="16" fillId="50" borderId="56" xfId="0" applyNumberFormat="1" applyFont="1" applyFill="1" applyBorder="1" applyAlignment="1">
      <alignment horizontal="center"/>
    </xf>
    <xf numFmtId="165" fontId="5" fillId="0" borderId="75" xfId="0" applyNumberFormat="1" applyFont="1" applyFill="1" applyBorder="1" applyAlignment="1">
      <alignment horizontal="center"/>
    </xf>
    <xf numFmtId="0" fontId="52" fillId="50" borderId="96" xfId="0" applyFont="1" applyFill="1" applyBorder="1" applyAlignment="1">
      <alignment horizontal="center" vertical="center" shrinkToFit="1"/>
    </xf>
    <xf numFmtId="0" fontId="52" fillId="50" borderId="97" xfId="0" applyFont="1" applyFill="1" applyBorder="1" applyAlignment="1">
      <alignment horizontal="center" vertical="center" shrinkToFit="1"/>
    </xf>
    <xf numFmtId="0" fontId="52" fillId="50" borderId="97" xfId="0" applyFont="1" applyFill="1" applyBorder="1" applyAlignment="1">
      <alignment horizontal="right" vertical="center" shrinkToFit="1"/>
    </xf>
    <xf numFmtId="0" fontId="52" fillId="50" borderId="97" xfId="0" applyFont="1" applyFill="1" applyBorder="1" applyAlignment="1">
      <alignment vertical="center"/>
    </xf>
    <xf numFmtId="0" fontId="54" fillId="50" borderId="97" xfId="0" applyFont="1" applyFill="1" applyBorder="1" applyAlignment="1">
      <alignment horizontal="center" vertical="center" wrapText="1"/>
    </xf>
    <xf numFmtId="0" fontId="54" fillId="50" borderId="98" xfId="0" applyFont="1" applyFill="1" applyBorder="1" applyAlignment="1">
      <alignment horizontal="center" vertical="center" wrapText="1"/>
    </xf>
    <xf numFmtId="0" fontId="46" fillId="53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 applyProtection="1">
      <alignment vertical="center"/>
      <protection locked="0"/>
    </xf>
    <xf numFmtId="0" fontId="46" fillId="0" borderId="12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46" fillId="55" borderId="12" xfId="0" applyFont="1" applyFill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6" fillId="50" borderId="12" xfId="0" applyFont="1" applyFill="1" applyBorder="1" applyAlignment="1">
      <alignment vertical="center"/>
    </xf>
    <xf numFmtId="0" fontId="33" fillId="54" borderId="12" xfId="0" applyFont="1" applyFill="1" applyBorder="1" applyAlignment="1">
      <alignment vertical="center"/>
    </xf>
    <xf numFmtId="0" fontId="46" fillId="53" borderId="12" xfId="0" applyNumberFormat="1" applyFont="1" applyFill="1" applyBorder="1" applyAlignment="1">
      <alignment vertical="center"/>
    </xf>
    <xf numFmtId="0" fontId="46" fillId="50" borderId="13" xfId="0" applyNumberFormat="1" applyFont="1" applyFill="1" applyBorder="1" applyAlignment="1">
      <alignment vertical="center"/>
    </xf>
    <xf numFmtId="0" fontId="46" fillId="50" borderId="20" xfId="0" applyNumberFormat="1" applyFont="1" applyFill="1" applyBorder="1" applyAlignment="1">
      <alignment vertical="center"/>
    </xf>
    <xf numFmtId="0" fontId="46" fillId="50" borderId="20" xfId="0" applyFont="1" applyFill="1" applyBorder="1" applyAlignment="1">
      <alignment horizontal="right" vertical="center"/>
    </xf>
    <xf numFmtId="0" fontId="57" fillId="50" borderId="20" xfId="0" applyFont="1" applyFill="1" applyBorder="1" applyAlignment="1">
      <alignment vertical="center"/>
    </xf>
    <xf numFmtId="0" fontId="54" fillId="50" borderId="96" xfId="0" applyFont="1" applyFill="1" applyBorder="1" applyAlignment="1">
      <alignment horizontal="center" vertical="center" wrapText="1"/>
    </xf>
    <xf numFmtId="0" fontId="0" fillId="0" borderId="0" xfId="65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12" fillId="0" borderId="0" xfId="65" applyFont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55" fillId="50" borderId="96" xfId="0" applyFont="1" applyFill="1" applyBorder="1" applyAlignment="1">
      <alignment vertical="center" shrinkToFit="1"/>
    </xf>
    <xf numFmtId="0" fontId="55" fillId="50" borderId="97" xfId="0" applyFont="1" applyFill="1" applyBorder="1" applyAlignment="1">
      <alignment vertical="center" shrinkToFit="1"/>
    </xf>
    <xf numFmtId="0" fontId="46" fillId="53" borderId="12" xfId="0" applyFont="1" applyFill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NumberFormat="1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6" fillId="50" borderId="12" xfId="0" applyFont="1" applyFill="1" applyBorder="1" applyAlignment="1">
      <alignment horizontal="right" vertical="center" wrapText="1"/>
    </xf>
    <xf numFmtId="0" fontId="0" fillId="53" borderId="12" xfId="0" applyFont="1" applyFill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46" fillId="50" borderId="13" xfId="0" applyNumberFormat="1" applyFont="1" applyFill="1" applyBorder="1" applyAlignment="1">
      <alignment vertical="center" wrapText="1"/>
    </xf>
    <xf numFmtId="0" fontId="33" fillId="50" borderId="20" xfId="0" applyFont="1" applyFill="1" applyBorder="1" applyAlignment="1">
      <alignment vertical="center" wrapText="1"/>
    </xf>
    <xf numFmtId="164" fontId="5" fillId="54" borderId="55" xfId="0" applyNumberFormat="1" applyFont="1" applyFill="1" applyBorder="1" applyAlignment="1">
      <alignment horizontal="center" vertical="center"/>
    </xf>
    <xf numFmtId="164" fontId="5" fillId="54" borderId="69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vertical="center"/>
    </xf>
    <xf numFmtId="164" fontId="5" fillId="0" borderId="69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164" fontId="5" fillId="54" borderId="45" xfId="0" applyNumberFormat="1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/>
    </xf>
    <xf numFmtId="164" fontId="22" fillId="0" borderId="49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5" fontId="5" fillId="54" borderId="11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54" borderId="68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 applyProtection="1">
      <alignment horizontal="left" vertical="center"/>
      <protection locked="0"/>
    </xf>
    <xf numFmtId="164" fontId="7" fillId="56" borderId="94" xfId="0" applyNumberFormat="1" applyFont="1" applyFill="1" applyBorder="1" applyAlignment="1">
      <alignment horizontal="center" vertical="center"/>
    </xf>
    <xf numFmtId="164" fontId="5" fillId="54" borderId="67" xfId="0" applyNumberFormat="1" applyFont="1" applyFill="1" applyBorder="1" applyAlignment="1">
      <alignment horizontal="center" vertical="center"/>
    </xf>
    <xf numFmtId="164" fontId="5" fillId="56" borderId="67" xfId="0" applyNumberFormat="1" applyFont="1" applyFill="1" applyBorder="1" applyAlignment="1">
      <alignment horizontal="center" vertical="center"/>
    </xf>
    <xf numFmtId="164" fontId="5" fillId="54" borderId="75" xfId="0" applyNumberFormat="1" applyFont="1" applyFill="1" applyBorder="1" applyAlignment="1">
      <alignment horizontal="center" vertical="center"/>
    </xf>
    <xf numFmtId="0" fontId="5" fillId="52" borderId="35" xfId="0" applyFont="1" applyFill="1" applyBorder="1" applyAlignment="1">
      <alignment horizontal="center" vertical="center"/>
    </xf>
    <xf numFmtId="164" fontId="82" fillId="5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52" borderId="35" xfId="0" applyNumberFormat="1" applyFont="1" applyFill="1" applyBorder="1" applyAlignment="1">
      <alignment horizontal="center" vertical="center"/>
    </xf>
    <xf numFmtId="0" fontId="5" fillId="52" borderId="60" xfId="0" applyFont="1" applyFill="1" applyBorder="1" applyAlignment="1">
      <alignment vertical="center"/>
    </xf>
    <xf numFmtId="0" fontId="5" fillId="52" borderId="60" xfId="0" applyFont="1" applyFill="1" applyBorder="1" applyAlignment="1">
      <alignment horizontal="center" vertical="center"/>
    </xf>
    <xf numFmtId="0" fontId="5" fillId="52" borderId="79" xfId="0" applyFont="1" applyFill="1" applyBorder="1" applyAlignment="1">
      <alignment horizontal="center" vertical="center"/>
    </xf>
    <xf numFmtId="0" fontId="5" fillId="52" borderId="99" xfId="0" applyFont="1" applyFill="1" applyBorder="1" applyAlignment="1">
      <alignment horizontal="center" vertical="center"/>
    </xf>
    <xf numFmtId="49" fontId="5" fillId="52" borderId="99" xfId="0" applyNumberFormat="1" applyFont="1" applyFill="1" applyBorder="1" applyAlignment="1">
      <alignment horizontal="center" vertical="center"/>
    </xf>
    <xf numFmtId="0" fontId="5" fillId="52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49" fontId="7" fillId="50" borderId="2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164" fontId="5" fillId="57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53" borderId="40" xfId="0" applyFont="1" applyFill="1" applyBorder="1" applyAlignment="1">
      <alignment horizontal="center" vertical="center"/>
    </xf>
    <xf numFmtId="0" fontId="5" fillId="5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164" fontId="9" fillId="53" borderId="94" xfId="0" applyNumberFormat="1" applyFont="1" applyFill="1" applyBorder="1" applyAlignment="1">
      <alignment horizontal="center" vertical="center"/>
    </xf>
    <xf numFmtId="164" fontId="9" fillId="53" borderId="67" xfId="0" applyNumberFormat="1" applyFont="1" applyFill="1" applyBorder="1" applyAlignment="1">
      <alignment horizontal="center" vertical="center"/>
    </xf>
    <xf numFmtId="164" fontId="18" fillId="0" borderId="67" xfId="0" applyNumberFormat="1" applyFont="1" applyBorder="1" applyAlignment="1">
      <alignment horizontal="center" vertical="center"/>
    </xf>
    <xf numFmtId="164" fontId="18" fillId="0" borderId="67" xfId="0" applyNumberFormat="1" applyFont="1" applyFill="1" applyBorder="1" applyAlignment="1">
      <alignment horizontal="center" vertical="center"/>
    </xf>
    <xf numFmtId="164" fontId="9" fillId="51" borderId="94" xfId="0" applyNumberFormat="1" applyFont="1" applyFill="1" applyBorder="1" applyAlignment="1">
      <alignment horizontal="center" vertical="center"/>
    </xf>
    <xf numFmtId="164" fontId="9" fillId="0" borderId="86" xfId="0" applyNumberFormat="1" applyFont="1" applyBorder="1" applyAlignment="1">
      <alignment horizontal="center" vertical="center"/>
    </xf>
    <xf numFmtId="164" fontId="18" fillId="0" borderId="86" xfId="0" applyNumberFormat="1" applyFont="1" applyBorder="1" applyAlignment="1">
      <alignment horizontal="center" vertical="center"/>
    </xf>
    <xf numFmtId="164" fontId="18" fillId="0" borderId="86" xfId="0" applyNumberFormat="1" applyFont="1" applyFill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164" fontId="9" fillId="0" borderId="100" xfId="0" applyNumberFormat="1" applyFont="1" applyBorder="1" applyAlignment="1">
      <alignment horizontal="center" vertical="center"/>
    </xf>
    <xf numFmtId="164" fontId="9" fillId="58" borderId="30" xfId="0" applyNumberFormat="1" applyFont="1" applyFill="1" applyBorder="1" applyAlignment="1">
      <alignment horizontal="center" vertical="center"/>
    </xf>
    <xf numFmtId="164" fontId="9" fillId="50" borderId="94" xfId="0" applyNumberFormat="1" applyFont="1" applyFill="1" applyBorder="1" applyAlignment="1">
      <alignment horizontal="center" vertical="center"/>
    </xf>
    <xf numFmtId="164" fontId="18" fillId="0" borderId="67" xfId="0" applyNumberFormat="1" applyFont="1" applyBorder="1" applyAlignment="1">
      <alignment horizontal="center" vertical="center"/>
    </xf>
    <xf numFmtId="164" fontId="9" fillId="50" borderId="101" xfId="0" applyNumberFormat="1" applyFont="1" applyFill="1" applyBorder="1" applyAlignment="1">
      <alignment horizontal="center" vertical="center"/>
    </xf>
    <xf numFmtId="0" fontId="9" fillId="53" borderId="64" xfId="0" applyFont="1" applyFill="1" applyBorder="1" applyAlignment="1">
      <alignment vertical="center"/>
    </xf>
    <xf numFmtId="0" fontId="9" fillId="53" borderId="27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 vertical="center"/>
    </xf>
    <xf numFmtId="0" fontId="16" fillId="53" borderId="32" xfId="0" applyFont="1" applyFill="1" applyBorder="1" applyAlignment="1">
      <alignment vertical="center"/>
    </xf>
    <xf numFmtId="0" fontId="16" fillId="53" borderId="64" xfId="0" applyFont="1" applyFill="1" applyBorder="1" applyAlignment="1">
      <alignment vertical="center"/>
    </xf>
    <xf numFmtId="0" fontId="9" fillId="51" borderId="27" xfId="0" applyFont="1" applyFill="1" applyBorder="1" applyAlignment="1">
      <alignment vertical="center"/>
    </xf>
    <xf numFmtId="0" fontId="16" fillId="51" borderId="32" xfId="0" applyFont="1" applyFill="1" applyBorder="1" applyAlignment="1">
      <alignment vertical="center"/>
    </xf>
    <xf numFmtId="0" fontId="16" fillId="51" borderId="64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58" borderId="103" xfId="0" applyFont="1" applyFill="1" applyBorder="1" applyAlignment="1">
      <alignment vertical="center"/>
    </xf>
    <xf numFmtId="0" fontId="9" fillId="50" borderId="64" xfId="0" applyFont="1" applyFill="1" applyBorder="1" applyAlignment="1">
      <alignment vertical="center"/>
    </xf>
    <xf numFmtId="0" fontId="17" fillId="50" borderId="104" xfId="0" applyFont="1" applyFill="1" applyBorder="1" applyAlignment="1">
      <alignment vertical="center"/>
    </xf>
    <xf numFmtId="49" fontId="7" fillId="52" borderId="47" xfId="0" applyNumberFormat="1" applyFont="1" applyFill="1" applyBorder="1" applyAlignment="1">
      <alignment horizontal="center" vertical="center" wrapText="1"/>
    </xf>
    <xf numFmtId="49" fontId="7" fillId="52" borderId="34" xfId="0" applyNumberFormat="1" applyFont="1" applyFill="1" applyBorder="1" applyAlignment="1">
      <alignment horizontal="center" vertical="center" wrapText="1"/>
    </xf>
    <xf numFmtId="49" fontId="7" fillId="52" borderId="83" xfId="0" applyNumberFormat="1" applyFont="1" applyFill="1" applyBorder="1" applyAlignment="1">
      <alignment horizontal="center" vertical="center" wrapText="1"/>
    </xf>
    <xf numFmtId="164" fontId="9" fillId="53" borderId="48" xfId="0" applyNumberFormat="1" applyFont="1" applyFill="1" applyBorder="1" applyAlignment="1">
      <alignment horizontal="center" vertical="center"/>
    </xf>
    <xf numFmtId="164" fontId="9" fillId="53" borderId="42" xfId="0" applyNumberFormat="1" applyFont="1" applyFill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164" fontId="9" fillId="51" borderId="48" xfId="0" applyNumberFormat="1" applyFont="1" applyFill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18" fillId="0" borderId="59" xfId="0" applyNumberFormat="1" applyFont="1" applyBorder="1" applyAlignment="1">
      <alignment horizontal="center" vertical="center"/>
    </xf>
    <xf numFmtId="164" fontId="18" fillId="0" borderId="59" xfId="0" applyNumberFormat="1" applyFont="1" applyFill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105" xfId="0" applyNumberFormat="1" applyFont="1" applyBorder="1" applyAlignment="1">
      <alignment horizontal="center" vertical="center"/>
    </xf>
    <xf numFmtId="164" fontId="9" fillId="58" borderId="83" xfId="0" applyNumberFormat="1" applyFont="1" applyFill="1" applyBorder="1" applyAlignment="1">
      <alignment horizontal="center" vertical="center"/>
    </xf>
    <xf numFmtId="164" fontId="9" fillId="50" borderId="48" xfId="0" applyNumberFormat="1" applyFont="1" applyFill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9" fillId="50" borderId="106" xfId="0" applyNumberFormat="1" applyFont="1" applyFill="1" applyBorder="1" applyAlignment="1">
      <alignment horizontal="center" vertical="center"/>
    </xf>
    <xf numFmtId="3" fontId="33" fillId="0" borderId="11" xfId="0" applyNumberFormat="1" applyFont="1" applyBorder="1" applyAlignment="1" applyProtection="1">
      <alignment horizontal="right" vertical="center" wrapText="1"/>
      <protection locked="0"/>
    </xf>
    <xf numFmtId="165" fontId="46" fillId="53" borderId="12" xfId="0" applyNumberFormat="1" applyFont="1" applyFill="1" applyBorder="1" applyAlignment="1">
      <alignment horizontal="center" vertical="center" wrapText="1"/>
    </xf>
    <xf numFmtId="165" fontId="46" fillId="53" borderId="11" xfId="0" applyNumberFormat="1" applyFont="1" applyFill="1" applyBorder="1" applyAlignment="1">
      <alignment horizontal="center" vertical="center" wrapText="1"/>
    </xf>
    <xf numFmtId="165" fontId="46" fillId="0" borderId="12" xfId="0" applyNumberFormat="1" applyFont="1" applyBorder="1" applyAlignment="1">
      <alignment horizontal="center" vertical="center" wrapText="1"/>
    </xf>
    <xf numFmtId="165" fontId="46" fillId="0" borderId="11" xfId="0" applyNumberFormat="1" applyFont="1" applyBorder="1" applyAlignment="1">
      <alignment horizontal="center" vertical="center" wrapText="1"/>
    </xf>
    <xf numFmtId="165" fontId="33" fillId="0" borderId="12" xfId="0" applyNumberFormat="1" applyFont="1" applyBorder="1" applyAlignment="1" applyProtection="1">
      <alignment horizontal="center" vertical="center" wrapText="1"/>
      <protection locked="0"/>
    </xf>
    <xf numFmtId="165" fontId="33" fillId="0" borderId="11" xfId="0" applyNumberFormat="1" applyFont="1" applyBorder="1" applyAlignment="1" applyProtection="1">
      <alignment horizontal="center" vertical="center" wrapText="1"/>
      <protection locked="0"/>
    </xf>
    <xf numFmtId="165" fontId="33" fillId="0" borderId="12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165" fontId="33" fillId="0" borderId="12" xfId="0" applyNumberFormat="1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165" fontId="46" fillId="0" borderId="12" xfId="0" applyNumberFormat="1" applyFont="1" applyBorder="1" applyAlignment="1">
      <alignment horizontal="center" vertical="center"/>
    </xf>
    <xf numFmtId="165" fontId="46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46" fillId="50" borderId="12" xfId="0" applyNumberFormat="1" applyFont="1" applyFill="1" applyBorder="1" applyAlignment="1">
      <alignment horizontal="center" vertical="center" wrapText="1"/>
    </xf>
    <xf numFmtId="165" fontId="46" fillId="50" borderId="11" xfId="0" applyNumberFormat="1" applyFont="1" applyFill="1" applyBorder="1" applyAlignment="1">
      <alignment horizontal="center" vertical="center" wrapText="1"/>
    </xf>
    <xf numFmtId="165" fontId="62" fillId="0" borderId="12" xfId="0" applyNumberFormat="1" applyFont="1" applyBorder="1" applyAlignment="1" applyProtection="1">
      <alignment horizontal="center" vertical="center" wrapText="1"/>
      <protection locked="0"/>
    </xf>
    <xf numFmtId="165" fontId="62" fillId="0" borderId="11" xfId="0" applyNumberFormat="1" applyFont="1" applyBorder="1" applyAlignment="1" applyProtection="1">
      <alignment horizontal="center" vertical="center" wrapText="1"/>
      <protection locked="0"/>
    </xf>
    <xf numFmtId="165" fontId="56" fillId="50" borderId="13" xfId="0" applyNumberFormat="1" applyFont="1" applyFill="1" applyBorder="1" applyAlignment="1">
      <alignment horizontal="center" vertical="center" wrapText="1"/>
    </xf>
    <xf numFmtId="165" fontId="56" fillId="50" borderId="20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27" xfId="0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5" fontId="5" fillId="54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56" fillId="0" borderId="11" xfId="0" applyNumberFormat="1" applyFont="1" applyBorder="1" applyAlignment="1" applyProtection="1">
      <alignment horizontal="left" vertical="center"/>
      <protection locked="0"/>
    </xf>
    <xf numFmtId="49" fontId="46" fillId="0" borderId="11" xfId="0" applyNumberFormat="1" applyFont="1" applyBorder="1" applyAlignment="1">
      <alignment horizontal="left" vertical="center"/>
    </xf>
    <xf numFmtId="49" fontId="46" fillId="53" borderId="11" xfId="0" applyNumberFormat="1" applyFont="1" applyFill="1" applyBorder="1" applyAlignment="1">
      <alignment horizontal="left" vertical="center"/>
    </xf>
    <xf numFmtId="0" fontId="53" fillId="50" borderId="107" xfId="0" applyFont="1" applyFill="1" applyBorder="1" applyAlignment="1">
      <alignment vertical="center"/>
    </xf>
    <xf numFmtId="0" fontId="0" fillId="53" borderId="27" xfId="0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Font="1" applyBorder="1" applyAlignment="1">
      <alignment vertical="center"/>
    </xf>
    <xf numFmtId="0" fontId="33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0" fillId="55" borderId="27" xfId="0" applyFill="1" applyBorder="1" applyAlignment="1">
      <alignment vertical="center"/>
    </xf>
    <xf numFmtId="0" fontId="0" fillId="0" borderId="27" xfId="0" applyFont="1" applyBorder="1" applyAlignment="1" applyProtection="1">
      <alignment vertical="center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33" fillId="53" borderId="27" xfId="0" applyFont="1" applyFill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33" fillId="50" borderId="27" xfId="0" applyFont="1" applyFill="1" applyBorder="1" applyAlignment="1">
      <alignment vertical="center"/>
    </xf>
    <xf numFmtId="0" fontId="33" fillId="54" borderId="27" xfId="0" applyFont="1" applyFill="1" applyBorder="1" applyAlignment="1">
      <alignment vertical="center"/>
    </xf>
    <xf numFmtId="0" fontId="0" fillId="53" borderId="27" xfId="0" applyFont="1" applyFill="1" applyBorder="1" applyAlignment="1">
      <alignment vertical="center"/>
    </xf>
    <xf numFmtId="0" fontId="12" fillId="0" borderId="27" xfId="0" applyFont="1" applyBorder="1" applyAlignment="1" applyProtection="1">
      <alignment vertical="center"/>
      <protection locked="0"/>
    </xf>
    <xf numFmtId="0" fontId="33" fillId="50" borderId="43" xfId="0" applyFont="1" applyFill="1" applyBorder="1" applyAlignment="1">
      <alignment vertical="center"/>
    </xf>
    <xf numFmtId="3" fontId="54" fillId="50" borderId="108" xfId="0" applyNumberFormat="1" applyFont="1" applyFill="1" applyBorder="1" applyAlignment="1">
      <alignment horizontal="center" vertical="center" wrapText="1"/>
    </xf>
    <xf numFmtId="0" fontId="55" fillId="50" borderId="107" xfId="0" applyFont="1" applyFill="1" applyBorder="1" applyAlignment="1">
      <alignment vertical="center" wrapText="1"/>
    </xf>
    <xf numFmtId="0" fontId="55" fillId="53" borderId="27" xfId="0" applyFont="1" applyFill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33" fillId="0" borderId="27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55" fillId="50" borderId="27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vertical="center" wrapText="1"/>
    </xf>
    <xf numFmtId="0" fontId="61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49" fontId="61" fillId="0" borderId="27" xfId="0" applyNumberFormat="1" applyFont="1" applyBorder="1" applyAlignment="1" applyProtection="1">
      <alignment horizontal="left" vertical="center" wrapText="1"/>
      <protection locked="0"/>
    </xf>
    <xf numFmtId="0" fontId="55" fillId="50" borderId="43" xfId="0" applyFont="1" applyFill="1" applyBorder="1" applyAlignment="1">
      <alignment horizontal="center" vertical="center" wrapText="1"/>
    </xf>
    <xf numFmtId="165" fontId="46" fillId="53" borderId="54" xfId="0" applyNumberFormat="1" applyFont="1" applyFill="1" applyBorder="1" applyAlignment="1">
      <alignment horizontal="center" vertical="center" wrapText="1"/>
    </xf>
    <xf numFmtId="165" fontId="46" fillId="0" borderId="54" xfId="0" applyNumberFormat="1" applyFont="1" applyBorder="1" applyAlignment="1">
      <alignment horizontal="center" vertical="center" wrapText="1"/>
    </xf>
    <xf numFmtId="165" fontId="33" fillId="0" borderId="54" xfId="0" applyNumberFormat="1" applyFont="1" applyBorder="1" applyAlignment="1" applyProtection="1">
      <alignment horizontal="center" vertical="center" wrapText="1"/>
      <protection locked="0"/>
    </xf>
    <xf numFmtId="165" fontId="33" fillId="0" borderId="54" xfId="0" applyNumberFormat="1" applyFont="1" applyBorder="1" applyAlignment="1">
      <alignment horizontal="center" vertical="center"/>
    </xf>
    <xf numFmtId="165" fontId="0" fillId="0" borderId="54" xfId="0" applyNumberFormat="1" applyFont="1" applyBorder="1" applyAlignment="1" applyProtection="1">
      <alignment horizontal="center" vertical="center"/>
      <protection locked="0"/>
    </xf>
    <xf numFmtId="165" fontId="46" fillId="0" borderId="54" xfId="0" applyNumberFormat="1" applyFont="1" applyBorder="1" applyAlignment="1">
      <alignment horizontal="center" vertical="center"/>
    </xf>
    <xf numFmtId="165" fontId="0" fillId="0" borderId="54" xfId="0" applyNumberFormat="1" applyBorder="1" applyAlignment="1" applyProtection="1">
      <alignment horizontal="center" vertical="center"/>
      <protection locked="0"/>
    </xf>
    <xf numFmtId="165" fontId="0" fillId="0" borderId="54" xfId="0" applyNumberFormat="1" applyFont="1" applyBorder="1" applyAlignment="1">
      <alignment horizontal="center" vertical="center"/>
    </xf>
    <xf numFmtId="165" fontId="46" fillId="50" borderId="54" xfId="0" applyNumberFormat="1" applyFont="1" applyFill="1" applyBorder="1" applyAlignment="1">
      <alignment horizontal="center" vertical="center" wrapText="1"/>
    </xf>
    <xf numFmtId="165" fontId="62" fillId="0" borderId="54" xfId="0" applyNumberFormat="1" applyFont="1" applyBorder="1" applyAlignment="1" applyProtection="1">
      <alignment horizontal="center" vertical="center" wrapText="1"/>
      <protection locked="0"/>
    </xf>
    <xf numFmtId="165" fontId="56" fillId="50" borderId="78" xfId="0" applyNumberFormat="1" applyFont="1" applyFill="1" applyBorder="1" applyAlignment="1">
      <alignment horizontal="center" vertical="center" wrapText="1"/>
    </xf>
    <xf numFmtId="165" fontId="46" fillId="53" borderId="54" xfId="0" applyNumberFormat="1" applyFont="1" applyFill="1" applyBorder="1" applyAlignment="1">
      <alignment horizontal="center" vertical="center"/>
    </xf>
    <xf numFmtId="165" fontId="46" fillId="53" borderId="12" xfId="0" applyNumberFormat="1" applyFont="1" applyFill="1" applyBorder="1" applyAlignment="1">
      <alignment horizontal="center" vertical="center"/>
    </xf>
    <xf numFmtId="165" fontId="46" fillId="53" borderId="11" xfId="0" applyNumberFormat="1" applyFont="1" applyFill="1" applyBorder="1" applyAlignment="1">
      <alignment horizontal="center" vertical="center"/>
    </xf>
    <xf numFmtId="165" fontId="33" fillId="0" borderId="54" xfId="0" applyNumberFormat="1" applyFont="1" applyBorder="1" applyAlignment="1" applyProtection="1">
      <alignment horizontal="center" vertical="center"/>
      <protection locked="0"/>
    </xf>
    <xf numFmtId="165" fontId="33" fillId="0" borderId="12" xfId="0" applyNumberFormat="1" applyFont="1" applyBorder="1" applyAlignment="1" applyProtection="1">
      <alignment horizontal="center" vertical="center"/>
      <protection locked="0"/>
    </xf>
    <xf numFmtId="165" fontId="33" fillId="0" borderId="11" xfId="0" applyNumberFormat="1" applyFont="1" applyBorder="1" applyAlignment="1" applyProtection="1">
      <alignment horizontal="center" vertical="center"/>
      <protection locked="0"/>
    </xf>
    <xf numFmtId="165" fontId="33" fillId="57" borderId="11" xfId="0" applyNumberFormat="1" applyFont="1" applyFill="1" applyBorder="1" applyAlignment="1" applyProtection="1">
      <alignment horizontal="center" vertical="center"/>
      <protection locked="0"/>
    </xf>
    <xf numFmtId="165" fontId="46" fillId="0" borderId="54" xfId="0" applyNumberFormat="1" applyFont="1" applyBorder="1" applyAlignment="1" applyProtection="1">
      <alignment horizontal="center" vertical="center"/>
      <protection locked="0"/>
    </xf>
    <xf numFmtId="165" fontId="46" fillId="0" borderId="12" xfId="0" applyNumberFormat="1" applyFont="1" applyBorder="1" applyAlignment="1" applyProtection="1">
      <alignment horizontal="center" vertical="center"/>
      <protection locked="0"/>
    </xf>
    <xf numFmtId="165" fontId="46" fillId="0" borderId="11" xfId="0" applyNumberFormat="1" applyFont="1" applyBorder="1" applyAlignment="1" applyProtection="1">
      <alignment horizontal="center" vertical="center"/>
      <protection locked="0"/>
    </xf>
    <xf numFmtId="165" fontId="46" fillId="55" borderId="54" xfId="0" applyNumberFormat="1" applyFont="1" applyFill="1" applyBorder="1" applyAlignment="1">
      <alignment horizontal="center" vertical="center"/>
    </xf>
    <xf numFmtId="165" fontId="46" fillId="55" borderId="12" xfId="0" applyNumberFormat="1" applyFont="1" applyFill="1" applyBorder="1" applyAlignment="1">
      <alignment horizontal="center" vertical="center"/>
    </xf>
    <xf numFmtId="165" fontId="46" fillId="55" borderId="11" xfId="0" applyNumberFormat="1" applyFont="1" applyFill="1" applyBorder="1" applyAlignment="1">
      <alignment horizontal="center" vertical="center"/>
    </xf>
    <xf numFmtId="165" fontId="33" fillId="54" borderId="12" xfId="0" applyNumberFormat="1" applyFont="1" applyFill="1" applyBorder="1" applyAlignment="1" applyProtection="1">
      <alignment horizontal="center" vertical="center"/>
      <protection locked="0"/>
    </xf>
    <xf numFmtId="165" fontId="33" fillId="0" borderId="109" xfId="0" applyNumberFormat="1" applyFont="1" applyBorder="1" applyAlignment="1" applyProtection="1">
      <alignment horizontal="center" vertical="center"/>
      <protection/>
    </xf>
    <xf numFmtId="165" fontId="33" fillId="0" borderId="38" xfId="0" applyNumberFormat="1" applyFont="1" applyBorder="1" applyAlignment="1" applyProtection="1">
      <alignment horizontal="center" vertical="center"/>
      <protection/>
    </xf>
    <xf numFmtId="165" fontId="0" fillId="57" borderId="11" xfId="0" applyNumberFormat="1" applyFill="1" applyBorder="1" applyAlignment="1" applyProtection="1">
      <alignment horizontal="center" vertical="center"/>
      <protection locked="0"/>
    </xf>
    <xf numFmtId="165" fontId="46" fillId="0" borderId="54" xfId="0" applyNumberFormat="1" applyFont="1" applyBorder="1" applyAlignment="1" applyProtection="1">
      <alignment horizontal="center" vertical="center"/>
      <protection/>
    </xf>
    <xf numFmtId="165" fontId="46" fillId="0" borderId="12" xfId="0" applyNumberFormat="1" applyFont="1" applyBorder="1" applyAlignment="1" applyProtection="1">
      <alignment horizontal="center" vertical="center"/>
      <protection/>
    </xf>
    <xf numFmtId="165" fontId="46" fillId="0" borderId="11" xfId="0" applyNumberFormat="1" applyFont="1" applyBorder="1" applyAlignment="1" applyProtection="1">
      <alignment horizontal="center" vertical="center"/>
      <protection/>
    </xf>
    <xf numFmtId="165" fontId="46" fillId="50" borderId="54" xfId="0" applyNumberFormat="1" applyFont="1" applyFill="1" applyBorder="1" applyAlignment="1">
      <alignment horizontal="center" vertical="center"/>
    </xf>
    <xf numFmtId="165" fontId="46" fillId="50" borderId="12" xfId="0" applyNumberFormat="1" applyFont="1" applyFill="1" applyBorder="1" applyAlignment="1">
      <alignment horizontal="center" vertical="center"/>
    </xf>
    <xf numFmtId="165" fontId="46" fillId="50" borderId="11" xfId="0" applyNumberFormat="1" applyFont="1" applyFill="1" applyBorder="1" applyAlignment="1">
      <alignment horizontal="center" vertical="center"/>
    </xf>
    <xf numFmtId="165" fontId="33" fillId="54" borderId="54" xfId="0" applyNumberFormat="1" applyFont="1" applyFill="1" applyBorder="1" applyAlignment="1">
      <alignment horizontal="center" vertical="center"/>
    </xf>
    <xf numFmtId="165" fontId="33" fillId="54" borderId="12" xfId="0" applyNumberFormat="1" applyFont="1" applyFill="1" applyBorder="1" applyAlignment="1">
      <alignment horizontal="center" vertical="center"/>
    </xf>
    <xf numFmtId="165" fontId="33" fillId="54" borderId="11" xfId="0" applyNumberFormat="1" applyFont="1" applyFill="1" applyBorder="1" applyAlignment="1">
      <alignment horizontal="center" vertical="center"/>
    </xf>
    <xf numFmtId="165" fontId="46" fillId="53" borderId="54" xfId="0" applyNumberFormat="1" applyFont="1" applyFill="1" applyBorder="1" applyAlignment="1" applyProtection="1">
      <alignment horizontal="center" vertical="center"/>
      <protection/>
    </xf>
    <xf numFmtId="165" fontId="46" fillId="53" borderId="12" xfId="0" applyNumberFormat="1" applyFont="1" applyFill="1" applyBorder="1" applyAlignment="1" applyProtection="1">
      <alignment horizontal="center" vertical="center"/>
      <protection/>
    </xf>
    <xf numFmtId="165" fontId="46" fillId="53" borderId="11" xfId="0" applyNumberFormat="1" applyFont="1" applyFill="1" applyBorder="1" applyAlignment="1" applyProtection="1">
      <alignment horizontal="center" vertical="center"/>
      <protection/>
    </xf>
    <xf numFmtId="165" fontId="46" fillId="50" borderId="78" xfId="0" applyNumberFormat="1" applyFont="1" applyFill="1" applyBorder="1" applyAlignment="1">
      <alignment horizontal="center" vertical="center"/>
    </xf>
    <xf numFmtId="165" fontId="46" fillId="50" borderId="13" xfId="0" applyNumberFormat="1" applyFont="1" applyFill="1" applyBorder="1" applyAlignment="1">
      <alignment horizontal="center" vertical="center"/>
    </xf>
    <xf numFmtId="165" fontId="46" fillId="50" borderId="20" xfId="0" applyNumberFormat="1" applyFont="1" applyFill="1" applyBorder="1" applyAlignment="1">
      <alignment horizontal="center" vertical="center"/>
    </xf>
    <xf numFmtId="1" fontId="7" fillId="56" borderId="48" xfId="0" applyNumberFormat="1" applyFont="1" applyFill="1" applyBorder="1" applyAlignment="1">
      <alignment horizontal="center" vertical="center"/>
    </xf>
    <xf numFmtId="1" fontId="4" fillId="51" borderId="42" xfId="0" applyNumberFormat="1" applyFont="1" applyFill="1" applyBorder="1" applyAlignment="1">
      <alignment horizontal="center" vertical="center"/>
    </xf>
    <xf numFmtId="1" fontId="5" fillId="54" borderId="48" xfId="0" applyNumberFormat="1" applyFont="1" applyFill="1" applyBorder="1" applyAlignment="1">
      <alignment horizontal="center" vertical="center"/>
    </xf>
    <xf numFmtId="1" fontId="16" fillId="50" borderId="91" xfId="0" applyNumberFormat="1" applyFont="1" applyFill="1" applyBorder="1" applyAlignment="1">
      <alignment horizontal="center" vertical="center"/>
    </xf>
    <xf numFmtId="0" fontId="2" fillId="54" borderId="11" xfId="0" applyFont="1" applyFill="1" applyBorder="1" applyAlignment="1">
      <alignment vertical="center"/>
    </xf>
    <xf numFmtId="3" fontId="7" fillId="56" borderId="34" xfId="0" applyNumberFormat="1" applyFont="1" applyFill="1" applyBorder="1" applyAlignment="1">
      <alignment horizontal="center"/>
    </xf>
    <xf numFmtId="3" fontId="4" fillId="51" borderId="42" xfId="0" applyNumberFormat="1" applyFont="1" applyFill="1" applyBorder="1" applyAlignment="1">
      <alignment horizontal="center"/>
    </xf>
    <xf numFmtId="3" fontId="5" fillId="54" borderId="59" xfId="0" applyNumberFormat="1" applyFont="1" applyFill="1" applyBorder="1" applyAlignment="1">
      <alignment horizontal="center"/>
    </xf>
    <xf numFmtId="3" fontId="5" fillId="51" borderId="42" xfId="0" applyNumberFormat="1" applyFont="1" applyFill="1" applyBorder="1" applyAlignment="1">
      <alignment horizontal="center"/>
    </xf>
    <xf numFmtId="3" fontId="5" fillId="54" borderId="42" xfId="0" applyNumberFormat="1" applyFont="1" applyFill="1" applyBorder="1" applyAlignment="1">
      <alignment horizontal="center"/>
    </xf>
    <xf numFmtId="3" fontId="5" fillId="51" borderId="59" xfId="0" applyNumberFormat="1" applyFont="1" applyFill="1" applyBorder="1" applyAlignment="1">
      <alignment horizontal="center"/>
    </xf>
    <xf numFmtId="3" fontId="5" fillId="54" borderId="67" xfId="0" applyNumberFormat="1" applyFont="1" applyFill="1" applyBorder="1" applyAlignment="1">
      <alignment horizontal="center"/>
    </xf>
    <xf numFmtId="3" fontId="5" fillId="54" borderId="92" xfId="0" applyNumberFormat="1" applyFont="1" applyFill="1" applyBorder="1" applyAlignment="1">
      <alignment horizontal="center"/>
    </xf>
    <xf numFmtId="3" fontId="5" fillId="51" borderId="95" xfId="0" applyNumberFormat="1" applyFont="1" applyFill="1" applyBorder="1" applyAlignment="1">
      <alignment horizontal="center"/>
    </xf>
    <xf numFmtId="3" fontId="5" fillId="54" borderId="44" xfId="0" applyNumberFormat="1" applyFont="1" applyFill="1" applyBorder="1" applyAlignment="1">
      <alignment horizontal="center"/>
    </xf>
    <xf numFmtId="3" fontId="16" fillId="50" borderId="57" xfId="0" applyNumberFormat="1" applyFont="1" applyFill="1" applyBorder="1" applyAlignment="1">
      <alignment horizontal="center"/>
    </xf>
    <xf numFmtId="3" fontId="46" fillId="53" borderId="67" xfId="0" applyNumberFormat="1" applyFont="1" applyFill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0" fillId="0" borderId="67" xfId="0" applyNumberFormat="1" applyBorder="1" applyAlignment="1" applyProtection="1">
      <alignment horizontal="center" vertical="center"/>
      <protection locked="0"/>
    </xf>
    <xf numFmtId="3" fontId="33" fillId="0" borderId="67" xfId="0" applyNumberFormat="1" applyFont="1" applyBorder="1" applyAlignment="1" applyProtection="1">
      <alignment horizontal="center" vertical="center"/>
      <protection locked="0"/>
    </xf>
    <xf numFmtId="3" fontId="46" fillId="0" borderId="67" xfId="0" applyNumberFormat="1" applyFont="1" applyBorder="1" applyAlignment="1" applyProtection="1">
      <alignment horizontal="center" vertical="center"/>
      <protection locked="0"/>
    </xf>
    <xf numFmtId="3" fontId="46" fillId="55" borderId="67" xfId="0" applyNumberFormat="1" applyFont="1" applyFill="1" applyBorder="1" applyAlignment="1">
      <alignment horizontal="center" vertical="center"/>
    </xf>
    <xf numFmtId="3" fontId="33" fillId="54" borderId="67" xfId="0" applyNumberFormat="1" applyFont="1" applyFill="1" applyBorder="1" applyAlignment="1" applyProtection="1">
      <alignment horizontal="center" vertical="center"/>
      <protection locked="0"/>
    </xf>
    <xf numFmtId="3" fontId="33" fillId="0" borderId="110" xfId="0" applyNumberFormat="1" applyFont="1" applyBorder="1" applyAlignment="1" applyProtection="1">
      <alignment horizontal="center" vertical="center"/>
      <protection/>
    </xf>
    <xf numFmtId="3" fontId="46" fillId="0" borderId="67" xfId="0" applyNumberFormat="1" applyFont="1" applyBorder="1" applyAlignment="1" applyProtection="1">
      <alignment horizontal="center" vertical="center"/>
      <protection/>
    </xf>
    <xf numFmtId="3" fontId="46" fillId="50" borderId="67" xfId="0" applyNumberFormat="1" applyFont="1" applyFill="1" applyBorder="1" applyAlignment="1">
      <alignment horizontal="center" vertical="center"/>
    </xf>
    <xf numFmtId="3" fontId="33" fillId="54" borderId="67" xfId="0" applyNumberFormat="1" applyFont="1" applyFill="1" applyBorder="1" applyAlignment="1">
      <alignment horizontal="center" vertical="center"/>
    </xf>
    <xf numFmtId="3" fontId="46" fillId="53" borderId="67" xfId="0" applyNumberFormat="1" applyFont="1" applyFill="1" applyBorder="1" applyAlignment="1" applyProtection="1">
      <alignment horizontal="center" vertical="center"/>
      <protection/>
    </xf>
    <xf numFmtId="3" fontId="46" fillId="50" borderId="75" xfId="0" applyNumberFormat="1" applyFont="1" applyFill="1" applyBorder="1" applyAlignment="1">
      <alignment horizontal="center" vertical="center"/>
    </xf>
    <xf numFmtId="3" fontId="46" fillId="53" borderId="67" xfId="0" applyNumberFormat="1" applyFont="1" applyFill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33" fillId="0" borderId="67" xfId="0" applyNumberFormat="1" applyFont="1" applyBorder="1" applyAlignment="1" applyProtection="1">
      <alignment horizontal="center" vertical="center" wrapText="1"/>
      <protection locked="0"/>
    </xf>
    <xf numFmtId="3" fontId="33" fillId="0" borderId="67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 applyProtection="1">
      <alignment horizontal="center" vertical="center"/>
      <protection locked="0"/>
    </xf>
    <xf numFmtId="3" fontId="0" fillId="0" borderId="67" xfId="0" applyNumberFormat="1" applyFont="1" applyBorder="1" applyAlignment="1">
      <alignment horizontal="center" vertical="center"/>
    </xf>
    <xf numFmtId="3" fontId="46" fillId="50" borderId="67" xfId="0" applyNumberFormat="1" applyFont="1" applyFill="1" applyBorder="1" applyAlignment="1">
      <alignment horizontal="center" vertical="center" wrapText="1"/>
    </xf>
    <xf numFmtId="3" fontId="62" fillId="0" borderId="67" xfId="0" applyNumberFormat="1" applyFont="1" applyBorder="1" applyAlignment="1" applyProtection="1">
      <alignment horizontal="center" vertical="center" wrapText="1"/>
      <protection locked="0"/>
    </xf>
    <xf numFmtId="3" fontId="56" fillId="50" borderId="75" xfId="0" applyNumberFormat="1" applyFont="1" applyFill="1" applyBorder="1" applyAlignment="1">
      <alignment horizontal="center" vertical="center" wrapText="1"/>
    </xf>
    <xf numFmtId="1" fontId="9" fillId="53" borderId="94" xfId="0" applyNumberFormat="1" applyFont="1" applyFill="1" applyBorder="1" applyAlignment="1">
      <alignment horizontal="center" vertical="center"/>
    </xf>
    <xf numFmtId="1" fontId="9" fillId="53" borderId="67" xfId="0" applyNumberFormat="1" applyFont="1" applyFill="1" applyBorder="1" applyAlignment="1">
      <alignment horizontal="center" vertical="center"/>
    </xf>
    <xf numFmtId="1" fontId="18" fillId="0" borderId="67" xfId="0" applyNumberFormat="1" applyFont="1" applyBorder="1" applyAlignment="1">
      <alignment horizontal="center" vertical="center"/>
    </xf>
    <xf numFmtId="1" fontId="18" fillId="0" borderId="67" xfId="0" applyNumberFormat="1" applyFont="1" applyFill="1" applyBorder="1" applyAlignment="1">
      <alignment horizontal="center" vertical="center"/>
    </xf>
    <xf numFmtId="1" fontId="9" fillId="51" borderId="94" xfId="0" applyNumberFormat="1" applyFont="1" applyFill="1" applyBorder="1" applyAlignment="1">
      <alignment horizontal="center" vertical="center"/>
    </xf>
    <xf numFmtId="1" fontId="9" fillId="0" borderId="86" xfId="0" applyNumberFormat="1" applyFont="1" applyBorder="1" applyAlignment="1">
      <alignment horizontal="center" vertical="center"/>
    </xf>
    <xf numFmtId="1" fontId="18" fillId="0" borderId="86" xfId="0" applyNumberFormat="1" applyFont="1" applyBorder="1" applyAlignment="1">
      <alignment horizontal="center" vertical="center"/>
    </xf>
    <xf numFmtId="1" fontId="18" fillId="0" borderId="86" xfId="0" applyNumberFormat="1" applyFont="1" applyFill="1" applyBorder="1" applyAlignment="1">
      <alignment horizontal="center" vertical="center"/>
    </xf>
    <xf numFmtId="1" fontId="9" fillId="0" borderId="67" xfId="0" applyNumberFormat="1" applyFont="1" applyBorder="1" applyAlignment="1">
      <alignment horizontal="center" vertical="center"/>
    </xf>
    <xf numFmtId="1" fontId="9" fillId="0" borderId="100" xfId="0" applyNumberFormat="1" applyFont="1" applyBorder="1" applyAlignment="1">
      <alignment horizontal="center" vertical="center"/>
    </xf>
    <xf numFmtId="1" fontId="9" fillId="58" borderId="30" xfId="0" applyNumberFormat="1" applyFont="1" applyFill="1" applyBorder="1" applyAlignment="1">
      <alignment horizontal="center" vertical="center"/>
    </xf>
    <xf numFmtId="1" fontId="9" fillId="50" borderId="94" xfId="0" applyNumberFormat="1" applyFont="1" applyFill="1" applyBorder="1" applyAlignment="1">
      <alignment horizontal="center" vertical="center"/>
    </xf>
    <xf numFmtId="1" fontId="18" fillId="0" borderId="67" xfId="0" applyNumberFormat="1" applyFont="1" applyBorder="1" applyAlignment="1">
      <alignment horizontal="center" vertical="center"/>
    </xf>
    <xf numFmtId="1" fontId="9" fillId="50" borderId="101" xfId="0" applyNumberFormat="1" applyFont="1" applyFill="1" applyBorder="1" applyAlignment="1">
      <alignment horizontal="center" vertical="center"/>
    </xf>
    <xf numFmtId="49" fontId="12" fillId="52" borderId="15" xfId="0" applyNumberFormat="1" applyFont="1" applyFill="1" applyBorder="1" applyAlignment="1">
      <alignment horizontal="center" vertical="center"/>
    </xf>
    <xf numFmtId="49" fontId="12" fillId="52" borderId="39" xfId="0" applyNumberFormat="1" applyFont="1" applyFill="1" applyBorder="1" applyAlignment="1">
      <alignment horizontal="center" vertical="center"/>
    </xf>
    <xf numFmtId="49" fontId="12" fillId="52" borderId="97" xfId="0" applyNumberFormat="1" applyFont="1" applyFill="1" applyBorder="1" applyAlignment="1">
      <alignment horizontal="center" vertical="center"/>
    </xf>
    <xf numFmtId="49" fontId="12" fillId="52" borderId="107" xfId="0" applyNumberFormat="1" applyFont="1" applyFill="1" applyBorder="1" applyAlignment="1">
      <alignment horizontal="center" vertical="center"/>
    </xf>
    <xf numFmtId="0" fontId="5" fillId="52" borderId="11" xfId="0" applyFont="1" applyFill="1" applyBorder="1" applyAlignment="1">
      <alignment horizontal="center" vertical="center"/>
    </xf>
    <xf numFmtId="0" fontId="5" fillId="52" borderId="21" xfId="0" applyFont="1" applyFill="1" applyBorder="1" applyAlignment="1">
      <alignment horizontal="center" vertical="center"/>
    </xf>
    <xf numFmtId="0" fontId="4" fillId="52" borderId="45" xfId="0" applyFont="1" applyFill="1" applyBorder="1" applyAlignment="1">
      <alignment horizontal="center" vertical="center"/>
    </xf>
    <xf numFmtId="0" fontId="4" fillId="52" borderId="49" xfId="0" applyFont="1" applyFill="1" applyBorder="1" applyAlignment="1">
      <alignment horizontal="center" vertical="center"/>
    </xf>
    <xf numFmtId="0" fontId="5" fillId="52" borderId="22" xfId="0" applyFont="1" applyFill="1" applyBorder="1" applyAlignment="1">
      <alignment horizontal="center" vertical="center"/>
    </xf>
    <xf numFmtId="0" fontId="5" fillId="52" borderId="27" xfId="0" applyFont="1" applyFill="1" applyBorder="1" applyAlignment="1">
      <alignment horizontal="center" vertical="center"/>
    </xf>
    <xf numFmtId="0" fontId="5" fillId="52" borderId="35" xfId="0" applyFont="1" applyFill="1" applyBorder="1" applyAlignment="1">
      <alignment horizontal="center" vertical="center"/>
    </xf>
    <xf numFmtId="0" fontId="11" fillId="52" borderId="27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49" fontId="5" fillId="52" borderId="21" xfId="0" applyNumberFormat="1" applyFont="1" applyFill="1" applyBorder="1" applyAlignment="1">
      <alignment horizontal="center" vertical="center"/>
    </xf>
    <xf numFmtId="49" fontId="5" fillId="52" borderId="22" xfId="0" applyNumberFormat="1" applyFont="1" applyFill="1" applyBorder="1" applyAlignment="1">
      <alignment horizontal="center" vertical="center"/>
    </xf>
    <xf numFmtId="49" fontId="7" fillId="50" borderId="34" xfId="0" applyNumberFormat="1" applyFont="1" applyFill="1" applyBorder="1" applyAlignment="1">
      <alignment horizontal="center" vertical="center" wrapText="1"/>
    </xf>
    <xf numFmtId="0" fontId="5" fillId="52" borderId="47" xfId="0" applyFont="1" applyFill="1" applyBorder="1" applyAlignment="1">
      <alignment horizontal="center" vertical="center"/>
    </xf>
    <xf numFmtId="0" fontId="5" fillId="52" borderId="34" xfId="0" applyFont="1" applyFill="1" applyBorder="1" applyAlignment="1">
      <alignment horizontal="center" vertical="center"/>
    </xf>
    <xf numFmtId="0" fontId="11" fillId="52" borderId="0" xfId="0" applyFont="1" applyFill="1" applyBorder="1" applyAlignment="1">
      <alignment horizontal="center" vertical="center"/>
    </xf>
    <xf numFmtId="0" fontId="5" fillId="52" borderId="41" xfId="0" applyFont="1" applyFill="1" applyBorder="1" applyAlignment="1">
      <alignment horizontal="center" vertical="center"/>
    </xf>
    <xf numFmtId="0" fontId="5" fillId="52" borderId="17" xfId="0" applyFont="1" applyFill="1" applyBorder="1" applyAlignment="1">
      <alignment horizontal="center" vertical="center"/>
    </xf>
    <xf numFmtId="0" fontId="5" fillId="52" borderId="63" xfId="0" applyFont="1" applyFill="1" applyBorder="1" applyAlignment="1">
      <alignment horizontal="center" vertical="center"/>
    </xf>
    <xf numFmtId="0" fontId="5" fillId="52" borderId="64" xfId="0" applyFont="1" applyFill="1" applyBorder="1" applyAlignment="1">
      <alignment horizontal="center" vertical="center"/>
    </xf>
    <xf numFmtId="0" fontId="5" fillId="52" borderId="65" xfId="0" applyFont="1" applyFill="1" applyBorder="1" applyAlignment="1">
      <alignment horizontal="center" vertical="center"/>
    </xf>
    <xf numFmtId="0" fontId="5" fillId="5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52" borderId="45" xfId="0" applyFont="1" applyFill="1" applyBorder="1" applyAlignment="1">
      <alignment horizontal="center" vertical="center"/>
    </xf>
    <xf numFmtId="0" fontId="5" fillId="52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52" borderId="32" xfId="0" applyFont="1" applyFill="1" applyBorder="1" applyAlignment="1">
      <alignment horizontal="center" vertical="center"/>
    </xf>
    <xf numFmtId="0" fontId="4" fillId="52" borderId="55" xfId="0" applyFont="1" applyFill="1" applyBorder="1" applyAlignment="1">
      <alignment horizontal="center" vertical="center"/>
    </xf>
    <xf numFmtId="0" fontId="4" fillId="52" borderId="60" xfId="0" applyFont="1" applyFill="1" applyBorder="1" applyAlignment="1">
      <alignment horizontal="center" vertical="center"/>
    </xf>
    <xf numFmtId="49" fontId="12" fillId="52" borderId="108" xfId="0" applyNumberFormat="1" applyFont="1" applyFill="1" applyBorder="1" applyAlignment="1">
      <alignment horizontal="center" vertical="center"/>
    </xf>
    <xf numFmtId="49" fontId="12" fillId="52" borderId="53" xfId="0" applyNumberFormat="1" applyFont="1" applyFill="1" applyBorder="1" applyAlignment="1">
      <alignment horizontal="center" vertical="center"/>
    </xf>
    <xf numFmtId="49" fontId="12" fillId="52" borderId="72" xfId="0" applyNumberFormat="1" applyFont="1" applyFill="1" applyBorder="1" applyAlignment="1">
      <alignment horizontal="center" vertical="center"/>
    </xf>
    <xf numFmtId="0" fontId="11" fillId="52" borderId="108" xfId="0" applyFont="1" applyFill="1" applyBorder="1" applyAlignment="1">
      <alignment horizontal="center" vertical="center"/>
    </xf>
    <xf numFmtId="0" fontId="11" fillId="52" borderId="53" xfId="0" applyFont="1" applyFill="1" applyBorder="1" applyAlignment="1">
      <alignment horizontal="center" vertical="center"/>
    </xf>
    <xf numFmtId="0" fontId="11" fillId="52" borderId="72" xfId="0" applyFont="1" applyFill="1" applyBorder="1" applyAlignment="1">
      <alignment horizontal="center" vertical="center"/>
    </xf>
    <xf numFmtId="0" fontId="5" fillId="52" borderId="16" xfId="0" applyFont="1" applyFill="1" applyBorder="1" applyAlignment="1">
      <alignment horizontal="center" vertical="center"/>
    </xf>
    <xf numFmtId="0" fontId="5" fillId="52" borderId="18" xfId="0" applyFont="1" applyFill="1" applyBorder="1" applyAlignment="1">
      <alignment horizontal="center" vertical="center"/>
    </xf>
    <xf numFmtId="0" fontId="11" fillId="52" borderId="107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49" fontId="7" fillId="50" borderId="26" xfId="0" applyNumberFormat="1" applyFont="1" applyFill="1" applyBorder="1" applyAlignment="1">
      <alignment horizontal="center" vertical="center" wrapText="1"/>
    </xf>
    <xf numFmtId="49" fontId="7" fillId="50" borderId="33" xfId="0" applyNumberFormat="1" applyFont="1" applyFill="1" applyBorder="1" applyAlignment="1">
      <alignment horizontal="center" vertical="center" wrapText="1"/>
    </xf>
    <xf numFmtId="0" fontId="4" fillId="52" borderId="72" xfId="0" applyFont="1" applyFill="1" applyBorder="1" applyAlignment="1">
      <alignment horizontal="center" vertical="center"/>
    </xf>
    <xf numFmtId="0" fontId="5" fillId="52" borderId="9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52" borderId="99" xfId="0" applyFont="1" applyFill="1" applyBorder="1" applyAlignment="1">
      <alignment horizontal="center" vertical="center"/>
    </xf>
    <xf numFmtId="0" fontId="5" fillId="52" borderId="39" xfId="0" applyFont="1" applyFill="1" applyBorder="1" applyAlignment="1">
      <alignment horizontal="center" vertical="center"/>
    </xf>
    <xf numFmtId="0" fontId="5" fillId="52" borderId="111" xfId="0" applyFont="1" applyFill="1" applyBorder="1" applyAlignment="1">
      <alignment horizontal="center" vertical="center"/>
    </xf>
    <xf numFmtId="0" fontId="5" fillId="52" borderId="96" xfId="0" applyFont="1" applyFill="1" applyBorder="1" applyAlignment="1">
      <alignment horizontal="center" vertical="center"/>
    </xf>
    <xf numFmtId="0" fontId="5" fillId="52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7" fillId="50" borderId="83" xfId="0" applyNumberFormat="1" applyFont="1" applyFill="1" applyBorder="1" applyAlignment="1">
      <alignment horizontal="center" vertical="center" wrapText="1"/>
    </xf>
    <xf numFmtId="0" fontId="4" fillId="52" borderId="66" xfId="0" applyFont="1" applyFill="1" applyBorder="1" applyAlignment="1">
      <alignment horizontal="center" vertical="center"/>
    </xf>
    <xf numFmtId="0" fontId="4" fillId="52" borderId="112" xfId="0" applyFont="1" applyFill="1" applyBorder="1" applyAlignment="1">
      <alignment horizontal="center" vertical="center"/>
    </xf>
    <xf numFmtId="0" fontId="5" fillId="52" borderId="103" xfId="0" applyFont="1" applyFill="1" applyBorder="1" applyAlignment="1">
      <alignment horizontal="center" vertical="center"/>
    </xf>
    <xf numFmtId="0" fontId="5" fillId="52" borderId="83" xfId="0" applyFont="1" applyFill="1" applyBorder="1" applyAlignment="1">
      <alignment horizontal="center" vertical="center"/>
    </xf>
    <xf numFmtId="0" fontId="5" fillId="52" borderId="85" xfId="0" applyFont="1" applyFill="1" applyBorder="1" applyAlignment="1">
      <alignment horizontal="center" vertical="center"/>
    </xf>
    <xf numFmtId="0" fontId="5" fillId="52" borderId="87" xfId="0" applyFont="1" applyFill="1" applyBorder="1" applyAlignment="1">
      <alignment horizontal="center" vertical="center"/>
    </xf>
    <xf numFmtId="0" fontId="11" fillId="52" borderId="7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49" fontId="12" fillId="52" borderId="25" xfId="0" applyNumberFormat="1" applyFont="1" applyFill="1" applyBorder="1" applyAlignment="1">
      <alignment horizontal="center" vertical="center"/>
    </xf>
    <xf numFmtId="0" fontId="11" fillId="52" borderId="64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52" borderId="71" xfId="0" applyFont="1" applyFill="1" applyBorder="1" applyAlignment="1">
      <alignment horizontal="center" vertical="center"/>
    </xf>
    <xf numFmtId="0" fontId="0" fillId="52" borderId="108" xfId="0" applyFill="1" applyBorder="1" applyAlignment="1">
      <alignment horizontal="center" vertical="center"/>
    </xf>
    <xf numFmtId="0" fontId="0" fillId="52" borderId="53" xfId="0" applyFill="1" applyBorder="1" applyAlignment="1">
      <alignment horizontal="center" vertical="center"/>
    </xf>
    <xf numFmtId="0" fontId="0" fillId="52" borderId="7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52" borderId="17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55" xfId="0" applyFont="1" applyFill="1" applyBorder="1" applyAlignment="1">
      <alignment horizontal="center" vertical="center"/>
    </xf>
    <xf numFmtId="0" fontId="16" fillId="56" borderId="27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14" fillId="52" borderId="11" xfId="0" applyFont="1" applyFill="1" applyBorder="1" applyAlignment="1">
      <alignment horizontal="center" vertical="center"/>
    </xf>
    <xf numFmtId="0" fontId="14" fillId="52" borderId="22" xfId="0" applyFont="1" applyFill="1" applyBorder="1" applyAlignment="1">
      <alignment horizontal="center" vertical="center"/>
    </xf>
    <xf numFmtId="49" fontId="12" fillId="52" borderId="24" xfId="0" applyNumberFormat="1" applyFont="1" applyFill="1" applyBorder="1" applyAlignment="1">
      <alignment horizontal="center" vertical="center"/>
    </xf>
    <xf numFmtId="0" fontId="25" fillId="52" borderId="61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5" fillId="52" borderId="0" xfId="0" applyFont="1" applyFill="1" applyBorder="1" applyAlignment="1">
      <alignment horizontal="center" vertical="center"/>
    </xf>
    <xf numFmtId="0" fontId="14" fillId="52" borderId="45" xfId="0" applyFont="1" applyFill="1" applyBorder="1" applyAlignment="1">
      <alignment horizontal="center" vertical="center"/>
    </xf>
    <xf numFmtId="0" fontId="5" fillId="52" borderId="48" xfId="0" applyFont="1" applyFill="1" applyBorder="1" applyAlignment="1">
      <alignment horizontal="center" vertical="center"/>
    </xf>
    <xf numFmtId="0" fontId="23" fillId="52" borderId="54" xfId="0" applyFont="1" applyFill="1" applyBorder="1" applyAlignment="1">
      <alignment horizontal="center" vertical="center"/>
    </xf>
    <xf numFmtId="49" fontId="7" fillId="50" borderId="48" xfId="0" applyNumberFormat="1" applyFont="1" applyFill="1" applyBorder="1" applyAlignment="1">
      <alignment horizontal="center" vertical="center" wrapText="1"/>
    </xf>
    <xf numFmtId="0" fontId="14" fillId="52" borderId="17" xfId="0" applyFont="1" applyFill="1" applyBorder="1" applyAlignment="1">
      <alignment horizontal="center" vertical="center"/>
    </xf>
    <xf numFmtId="0" fontId="14" fillId="52" borderId="71" xfId="0" applyFont="1" applyFill="1" applyBorder="1" applyAlignment="1">
      <alignment horizontal="center" vertical="center"/>
    </xf>
    <xf numFmtId="0" fontId="14" fillId="52" borderId="21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52" borderId="25" xfId="0" applyFill="1" applyBorder="1" applyAlignment="1">
      <alignment horizontal="center" vertical="center"/>
    </xf>
    <xf numFmtId="0" fontId="0" fillId="52" borderId="24" xfId="0" applyFill="1" applyBorder="1" applyAlignment="1">
      <alignment horizontal="center" vertical="center"/>
    </xf>
    <xf numFmtId="0" fontId="0" fillId="52" borderId="26" xfId="0" applyFill="1" applyBorder="1" applyAlignment="1">
      <alignment horizontal="center" vertical="center"/>
    </xf>
    <xf numFmtId="0" fontId="11" fillId="52" borderId="7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52" borderId="5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52" borderId="25" xfId="0" applyFont="1" applyFill="1" applyBorder="1" applyAlignment="1">
      <alignment horizontal="center" vertical="center"/>
    </xf>
    <xf numFmtId="0" fontId="11" fillId="52" borderId="24" xfId="0" applyFont="1" applyFill="1" applyBorder="1" applyAlignment="1">
      <alignment horizontal="center" vertical="center"/>
    </xf>
    <xf numFmtId="0" fontId="11" fillId="52" borderId="26" xfId="0" applyFont="1" applyFill="1" applyBorder="1" applyAlignment="1">
      <alignment horizontal="center" vertical="center"/>
    </xf>
    <xf numFmtId="49" fontId="12" fillId="52" borderId="108" xfId="0" applyNumberFormat="1" applyFont="1" applyFill="1" applyBorder="1" applyAlignment="1">
      <alignment horizontal="center"/>
    </xf>
    <xf numFmtId="49" fontId="12" fillId="52" borderId="53" xfId="0" applyNumberFormat="1" applyFont="1" applyFill="1" applyBorder="1" applyAlignment="1">
      <alignment horizontal="center"/>
    </xf>
    <xf numFmtId="49" fontId="12" fillId="52" borderId="72" xfId="0" applyNumberFormat="1" applyFont="1" applyFill="1" applyBorder="1" applyAlignment="1">
      <alignment horizontal="center"/>
    </xf>
    <xf numFmtId="0" fontId="11" fillId="52" borderId="107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72" xfId="0" applyBorder="1" applyAlignment="1">
      <alignment/>
    </xf>
    <xf numFmtId="0" fontId="5" fillId="52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11" fillId="52" borderId="54" xfId="0" applyFont="1" applyFill="1" applyBorder="1" applyAlignment="1">
      <alignment horizontal="center"/>
    </xf>
    <xf numFmtId="0" fontId="11" fillId="52" borderId="45" xfId="0" applyFont="1" applyFill="1" applyBorder="1" applyAlignment="1">
      <alignment horizontal="center"/>
    </xf>
    <xf numFmtId="0" fontId="11" fillId="52" borderId="55" xfId="0" applyFont="1" applyFill="1" applyBorder="1" applyAlignment="1">
      <alignment horizontal="center"/>
    </xf>
    <xf numFmtId="0" fontId="5" fillId="52" borderId="54" xfId="0" applyFont="1" applyFill="1" applyBorder="1" applyAlignment="1">
      <alignment horizontal="center"/>
    </xf>
    <xf numFmtId="0" fontId="5" fillId="52" borderId="12" xfId="0" applyFont="1" applyFill="1" applyBorder="1" applyAlignment="1">
      <alignment horizontal="center" vertical="center"/>
    </xf>
    <xf numFmtId="49" fontId="10" fillId="52" borderId="25" xfId="0" applyNumberFormat="1" applyFont="1" applyFill="1" applyBorder="1" applyAlignment="1">
      <alignment horizontal="left" vertical="center"/>
    </xf>
    <xf numFmtId="0" fontId="0" fillId="52" borderId="24" xfId="0" applyFill="1" applyBorder="1" applyAlignment="1">
      <alignment vertical="center"/>
    </xf>
    <xf numFmtId="0" fontId="0" fillId="52" borderId="77" xfId="0" applyFill="1" applyBorder="1" applyAlignment="1">
      <alignment vertical="center"/>
    </xf>
    <xf numFmtId="0" fontId="0" fillId="52" borderId="0" xfId="0" applyFill="1" applyBorder="1" applyAlignment="1">
      <alignment vertical="center"/>
    </xf>
    <xf numFmtId="0" fontId="0" fillId="52" borderId="113" xfId="0" applyFill="1" applyBorder="1" applyAlignment="1">
      <alignment vertical="center"/>
    </xf>
    <xf numFmtId="0" fontId="0" fillId="52" borderId="73" xfId="0" applyFill="1" applyBorder="1" applyAlignment="1">
      <alignment vertical="center"/>
    </xf>
    <xf numFmtId="164" fontId="9" fillId="53" borderId="59" xfId="0" applyNumberFormat="1" applyFont="1" applyFill="1" applyBorder="1" applyAlignment="1">
      <alignment horizontal="center" vertical="center"/>
    </xf>
    <xf numFmtId="164" fontId="9" fillId="53" borderId="48" xfId="0" applyNumberFormat="1" applyFont="1" applyFill="1" applyBorder="1" applyAlignment="1">
      <alignment horizontal="center" vertical="center"/>
    </xf>
    <xf numFmtId="1" fontId="9" fillId="53" borderId="59" xfId="0" applyNumberFormat="1" applyFont="1" applyFill="1" applyBorder="1" applyAlignment="1">
      <alignment horizontal="center" vertical="center"/>
    </xf>
    <xf numFmtId="1" fontId="9" fillId="53" borderId="48" xfId="0" applyNumberFormat="1" applyFont="1" applyFill="1" applyBorder="1" applyAlignment="1">
      <alignment horizontal="center" vertical="center"/>
    </xf>
    <xf numFmtId="164" fontId="9" fillId="51" borderId="59" xfId="0" applyNumberFormat="1" applyFont="1" applyFill="1" applyBorder="1" applyAlignment="1">
      <alignment horizontal="center" vertical="center"/>
    </xf>
    <xf numFmtId="164" fontId="9" fillId="51" borderId="48" xfId="0" applyNumberFormat="1" applyFont="1" applyFill="1" applyBorder="1" applyAlignment="1">
      <alignment horizontal="center" vertical="center"/>
    </xf>
    <xf numFmtId="1" fontId="9" fillId="51" borderId="59" xfId="0" applyNumberFormat="1" applyFont="1" applyFill="1" applyBorder="1" applyAlignment="1">
      <alignment horizontal="center" vertical="center"/>
    </xf>
    <xf numFmtId="1" fontId="9" fillId="51" borderId="48" xfId="0" applyNumberFormat="1" applyFont="1" applyFill="1" applyBorder="1" applyAlignment="1">
      <alignment horizontal="center" vertical="center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a" xfId="64"/>
    <cellStyle name="normálne_Kópia - rozpocet2009euro" xfId="65"/>
    <cellStyle name="normálne_Kópia - rozpocet2009eurooznac" xfId="66"/>
    <cellStyle name="normální_List1" xfId="67"/>
    <cellStyle name="Percent" xfId="68"/>
    <cellStyle name="Poznámka" xfId="69"/>
    <cellStyle name="Prepojená bunka" xfId="70"/>
    <cellStyle name="Spolu" xfId="71"/>
    <cellStyle name="Text upozornění" xfId="72"/>
    <cellStyle name="Text upozornenia" xfId="73"/>
    <cellStyle name="Titul" xfId="74"/>
    <cellStyle name="Vstup" xfId="75"/>
    <cellStyle name="Výpočet" xfId="76"/>
    <cellStyle name="Výstup" xfId="77"/>
    <cellStyle name="Vysvětlující text" xfId="78"/>
    <cellStyle name="Vysvetľujúci text" xfId="79"/>
    <cellStyle name="Zlá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  <cellStyle name="Zvýraznenie1" xfId="87"/>
    <cellStyle name="Zvýraznenie2" xfId="88"/>
    <cellStyle name="Zvýraznenie3" xfId="89"/>
    <cellStyle name="Zvýraznenie4" xfId="90"/>
    <cellStyle name="Zvýraznenie5" xfId="91"/>
    <cellStyle name="Zvýraznenie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7"/>
  <sheetViews>
    <sheetView tabSelected="1" view="pageBreakPreview" zoomScale="115" zoomScaleNormal="115" zoomScaleSheetLayoutView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74" sqref="J74"/>
    </sheetView>
  </sheetViews>
  <sheetFormatPr defaultColWidth="9.140625" defaultRowHeight="12.75"/>
  <cols>
    <col min="1" max="1" width="0.13671875" style="816" customWidth="1"/>
    <col min="2" max="2" width="0" style="816" hidden="1" customWidth="1"/>
    <col min="3" max="3" width="7.140625" style="47" customWidth="1"/>
    <col min="4" max="4" width="5.57421875" style="46" customWidth="1"/>
    <col min="5" max="5" width="8.00390625" style="46" customWidth="1"/>
    <col min="6" max="6" width="42.8515625" style="46" customWidth="1"/>
    <col min="7" max="7" width="9.421875" style="46" bestFit="1" customWidth="1"/>
    <col min="8" max="10" width="9.7109375" style="46" customWidth="1"/>
    <col min="11" max="246" width="9.140625" style="46" customWidth="1"/>
    <col min="247" max="16384" width="9.140625" style="816" customWidth="1"/>
  </cols>
  <sheetData>
    <row r="1" spans="1:10" ht="39.75" customHeight="1">
      <c r="A1" s="46"/>
      <c r="B1" s="46"/>
      <c r="C1" s="822" t="s">
        <v>479</v>
      </c>
      <c r="D1" s="823" t="s">
        <v>480</v>
      </c>
      <c r="E1" s="823" t="s">
        <v>481</v>
      </c>
      <c r="F1" s="993" t="s">
        <v>185</v>
      </c>
      <c r="G1" s="992" t="s">
        <v>500</v>
      </c>
      <c r="H1" s="815" t="s">
        <v>555</v>
      </c>
      <c r="I1" s="798" t="s">
        <v>563</v>
      </c>
      <c r="J1" s="799" t="s">
        <v>560</v>
      </c>
    </row>
    <row r="2" spans="3:10" ht="26.25" customHeight="1">
      <c r="C2" s="824">
        <v>100</v>
      </c>
      <c r="D2" s="67"/>
      <c r="E2" s="67"/>
      <c r="F2" s="994" t="s">
        <v>186</v>
      </c>
      <c r="G2" s="1007">
        <f>G3+G5+G7</f>
        <v>3466.4</v>
      </c>
      <c r="H2" s="938">
        <f>H3+H5+H7</f>
        <v>3468.5</v>
      </c>
      <c r="I2" s="939">
        <f>I3+I5+I7</f>
        <v>2880.2999999999997</v>
      </c>
      <c r="J2" s="1079">
        <f>+I2/H2*100</f>
        <v>83.04166066022776</v>
      </c>
    </row>
    <row r="3" spans="3:10" ht="21.75" customHeight="1">
      <c r="C3" s="825"/>
      <c r="D3" s="61">
        <v>110</v>
      </c>
      <c r="E3" s="61"/>
      <c r="F3" s="995" t="s">
        <v>187</v>
      </c>
      <c r="G3" s="1008">
        <f>G4</f>
        <v>2933.1</v>
      </c>
      <c r="H3" s="940">
        <f>H4</f>
        <v>2933.1</v>
      </c>
      <c r="I3" s="941">
        <f>I4</f>
        <v>2346.2</v>
      </c>
      <c r="J3" s="1080">
        <f aca="true" t="shared" si="0" ref="J3:J68">+I3/H3*100</f>
        <v>79.99045378609662</v>
      </c>
    </row>
    <row r="4" spans="1:10" ht="21.75" customHeight="1">
      <c r="A4" s="817"/>
      <c r="B4" s="817"/>
      <c r="C4" s="825"/>
      <c r="D4" s="58"/>
      <c r="E4" s="62" t="s">
        <v>188</v>
      </c>
      <c r="F4" s="996" t="s">
        <v>189</v>
      </c>
      <c r="G4" s="1009">
        <v>2933.1</v>
      </c>
      <c r="H4" s="942">
        <v>2933.1</v>
      </c>
      <c r="I4" s="943">
        <v>2346.2</v>
      </c>
      <c r="J4" s="1081">
        <f t="shared" si="0"/>
        <v>79.99045378609662</v>
      </c>
    </row>
    <row r="5" spans="3:10" ht="21.75" customHeight="1">
      <c r="C5" s="825"/>
      <c r="D5" s="61">
        <v>120</v>
      </c>
      <c r="E5" s="61"/>
      <c r="F5" s="995" t="s">
        <v>190</v>
      </c>
      <c r="G5" s="1008">
        <f>G6</f>
        <v>250</v>
      </c>
      <c r="H5" s="940">
        <f>H6</f>
        <v>250</v>
      </c>
      <c r="I5" s="941">
        <f>I6</f>
        <v>258.6</v>
      </c>
      <c r="J5" s="1080">
        <f t="shared" si="0"/>
        <v>103.44</v>
      </c>
    </row>
    <row r="6" spans="1:10" ht="21.75" customHeight="1">
      <c r="A6" s="817"/>
      <c r="B6" s="817"/>
      <c r="C6" s="825"/>
      <c r="D6" s="58"/>
      <c r="E6" s="63">
        <v>121</v>
      </c>
      <c r="F6" s="996" t="s">
        <v>191</v>
      </c>
      <c r="G6" s="1010">
        <v>250</v>
      </c>
      <c r="H6" s="944">
        <v>250</v>
      </c>
      <c r="I6" s="945">
        <v>258.6</v>
      </c>
      <c r="J6" s="1082">
        <f t="shared" si="0"/>
        <v>103.44</v>
      </c>
    </row>
    <row r="7" spans="3:10" ht="21.75" customHeight="1">
      <c r="C7" s="825"/>
      <c r="D7" s="69">
        <v>130</v>
      </c>
      <c r="E7" s="58"/>
      <c r="F7" s="995" t="s">
        <v>192</v>
      </c>
      <c r="G7" s="1008">
        <f>SUM(G8:G13)</f>
        <v>283.3</v>
      </c>
      <c r="H7" s="940">
        <f>SUM(H8:H13)</f>
        <v>285.4</v>
      </c>
      <c r="I7" s="941">
        <f>SUM(I8:I13)</f>
        <v>275.5</v>
      </c>
      <c r="J7" s="1080">
        <f t="shared" si="0"/>
        <v>96.53118430273301</v>
      </c>
    </row>
    <row r="8" spans="1:10" ht="21.75" customHeight="1">
      <c r="A8" s="817"/>
      <c r="B8" s="817"/>
      <c r="C8" s="825"/>
      <c r="D8" s="58"/>
      <c r="E8" s="62" t="s">
        <v>193</v>
      </c>
      <c r="F8" s="996" t="s">
        <v>194</v>
      </c>
      <c r="G8" s="1011">
        <v>6.3</v>
      </c>
      <c r="H8" s="946">
        <v>6.8</v>
      </c>
      <c r="I8" s="947">
        <v>6.4</v>
      </c>
      <c r="J8" s="1083">
        <f t="shared" si="0"/>
        <v>94.11764705882354</v>
      </c>
    </row>
    <row r="9" spans="1:10" ht="21.75" customHeight="1">
      <c r="A9" s="817"/>
      <c r="B9" s="817"/>
      <c r="C9" s="825"/>
      <c r="D9" s="58"/>
      <c r="E9" s="62" t="s">
        <v>195</v>
      </c>
      <c r="F9" s="996" t="s">
        <v>196</v>
      </c>
      <c r="G9" s="1009">
        <v>1</v>
      </c>
      <c r="H9" s="942">
        <v>0.5</v>
      </c>
      <c r="I9" s="943">
        <v>0.5</v>
      </c>
      <c r="J9" s="1081">
        <f t="shared" si="0"/>
        <v>100</v>
      </c>
    </row>
    <row r="10" spans="1:10" ht="21.75" customHeight="1">
      <c r="A10" s="817"/>
      <c r="B10" s="817"/>
      <c r="C10" s="825"/>
      <c r="D10" s="58"/>
      <c r="E10" s="62" t="s">
        <v>197</v>
      </c>
      <c r="F10" s="996" t="s">
        <v>198</v>
      </c>
      <c r="G10" s="1009">
        <v>0.2</v>
      </c>
      <c r="H10" s="942">
        <v>0.3</v>
      </c>
      <c r="I10" s="943">
        <v>0.3</v>
      </c>
      <c r="J10" s="1081">
        <f t="shared" si="0"/>
        <v>100</v>
      </c>
    </row>
    <row r="11" spans="1:10" ht="21.75" customHeight="1">
      <c r="A11" s="817"/>
      <c r="B11" s="817"/>
      <c r="C11" s="825"/>
      <c r="D11" s="58"/>
      <c r="E11" s="62" t="s">
        <v>199</v>
      </c>
      <c r="F11" s="996" t="s">
        <v>200</v>
      </c>
      <c r="G11" s="1009">
        <v>2</v>
      </c>
      <c r="H11" s="942">
        <v>2</v>
      </c>
      <c r="I11" s="943">
        <v>2.5</v>
      </c>
      <c r="J11" s="1081">
        <f t="shared" si="0"/>
        <v>125</v>
      </c>
    </row>
    <row r="12" spans="1:10" ht="21.75" customHeight="1">
      <c r="A12" s="817"/>
      <c r="B12" s="817"/>
      <c r="C12" s="825"/>
      <c r="D12" s="58"/>
      <c r="E12" s="62" t="s">
        <v>201</v>
      </c>
      <c r="F12" s="996" t="s">
        <v>202</v>
      </c>
      <c r="G12" s="1009">
        <v>26.6</v>
      </c>
      <c r="H12" s="942">
        <v>28.6</v>
      </c>
      <c r="I12" s="943">
        <v>33.5</v>
      </c>
      <c r="J12" s="1081">
        <f t="shared" si="0"/>
        <v>117.13286713286712</v>
      </c>
    </row>
    <row r="13" spans="1:10" ht="21.75" customHeight="1">
      <c r="A13" s="817"/>
      <c r="B13" s="817"/>
      <c r="C13" s="825"/>
      <c r="D13" s="58"/>
      <c r="E13" s="62" t="s">
        <v>203</v>
      </c>
      <c r="F13" s="996" t="s">
        <v>204</v>
      </c>
      <c r="G13" s="1009">
        <v>247.2</v>
      </c>
      <c r="H13" s="942">
        <v>247.2</v>
      </c>
      <c r="I13" s="943">
        <v>232.3</v>
      </c>
      <c r="J13" s="1081">
        <f t="shared" si="0"/>
        <v>93.97249190938513</v>
      </c>
    </row>
    <row r="14" spans="3:10" ht="21.75" customHeight="1">
      <c r="C14" s="824">
        <v>200</v>
      </c>
      <c r="D14" s="68"/>
      <c r="E14" s="68"/>
      <c r="F14" s="994" t="s">
        <v>205</v>
      </c>
      <c r="G14" s="1007">
        <f>G15+G18+G20+G22+G26+G28+G30</f>
        <v>793.5</v>
      </c>
      <c r="H14" s="938">
        <f>H15+H18+H20+H22+H26+H28+H30</f>
        <v>749.4</v>
      </c>
      <c r="I14" s="939">
        <f>I15+I18+I20+I22+I26+I28+I30</f>
        <v>875.0999999999999</v>
      </c>
      <c r="J14" s="1079">
        <f t="shared" si="0"/>
        <v>116.77341873498798</v>
      </c>
    </row>
    <row r="15" spans="3:10" ht="21.75" customHeight="1">
      <c r="C15" s="825"/>
      <c r="D15" s="61">
        <v>212</v>
      </c>
      <c r="E15" s="58"/>
      <c r="F15" s="995" t="s">
        <v>206</v>
      </c>
      <c r="G15" s="1008">
        <f>SUM(G16:G17)</f>
        <v>287.4</v>
      </c>
      <c r="H15" s="940">
        <f>SUM(H16:H17)</f>
        <v>296.4</v>
      </c>
      <c r="I15" s="941">
        <f>SUM(I16:I17)</f>
        <v>318.9</v>
      </c>
      <c r="J15" s="1080">
        <f t="shared" si="0"/>
        <v>107.5910931174089</v>
      </c>
    </row>
    <row r="16" spans="1:10" ht="21.75" customHeight="1">
      <c r="A16" s="817"/>
      <c r="B16" s="817"/>
      <c r="C16" s="825"/>
      <c r="D16" s="58"/>
      <c r="E16" s="62" t="s">
        <v>207</v>
      </c>
      <c r="F16" s="996" t="s">
        <v>208</v>
      </c>
      <c r="G16" s="1009">
        <v>25</v>
      </c>
      <c r="H16" s="942">
        <v>34</v>
      </c>
      <c r="I16" s="943">
        <v>32.7</v>
      </c>
      <c r="J16" s="1081">
        <f t="shared" si="0"/>
        <v>96.1764705882353</v>
      </c>
    </row>
    <row r="17" spans="1:10" ht="21.75" customHeight="1">
      <c r="A17" s="817"/>
      <c r="B17" s="817"/>
      <c r="C17" s="826"/>
      <c r="D17" s="58"/>
      <c r="E17" s="62" t="s">
        <v>209</v>
      </c>
      <c r="F17" s="996" t="s">
        <v>210</v>
      </c>
      <c r="G17" s="1009">
        <v>262.4</v>
      </c>
      <c r="H17" s="942">
        <v>262.4</v>
      </c>
      <c r="I17" s="943">
        <v>286.2</v>
      </c>
      <c r="J17" s="1081">
        <f t="shared" si="0"/>
        <v>109.07012195121952</v>
      </c>
    </row>
    <row r="18" spans="3:10" ht="21.75" customHeight="1">
      <c r="C18" s="825"/>
      <c r="D18" s="61">
        <v>221</v>
      </c>
      <c r="E18" s="61"/>
      <c r="F18" s="995" t="s">
        <v>211</v>
      </c>
      <c r="G18" s="1008">
        <f>G19</f>
        <v>98</v>
      </c>
      <c r="H18" s="940">
        <f>H19</f>
        <v>80</v>
      </c>
      <c r="I18" s="941">
        <f>I19</f>
        <v>90.6</v>
      </c>
      <c r="J18" s="1080">
        <f t="shared" si="0"/>
        <v>113.24999999999999</v>
      </c>
    </row>
    <row r="19" spans="1:10" ht="21.75" customHeight="1">
      <c r="A19" s="817"/>
      <c r="B19" s="817"/>
      <c r="C19" s="825"/>
      <c r="D19" s="58"/>
      <c r="E19" s="62" t="s">
        <v>212</v>
      </c>
      <c r="F19" s="996" t="s">
        <v>213</v>
      </c>
      <c r="G19" s="1009">
        <v>98</v>
      </c>
      <c r="H19" s="942">
        <v>80</v>
      </c>
      <c r="I19" s="943">
        <v>90.6</v>
      </c>
      <c r="J19" s="1081">
        <f t="shared" si="0"/>
        <v>113.24999999999999</v>
      </c>
    </row>
    <row r="20" spans="3:10" ht="21.75" customHeight="1">
      <c r="C20" s="825"/>
      <c r="D20" s="61">
        <v>222</v>
      </c>
      <c r="E20" s="61"/>
      <c r="F20" s="995" t="s">
        <v>214</v>
      </c>
      <c r="G20" s="1008">
        <f>G21</f>
        <v>5.5</v>
      </c>
      <c r="H20" s="940">
        <f>H21</f>
        <v>6.5</v>
      </c>
      <c r="I20" s="941">
        <f>I21</f>
        <v>6.2</v>
      </c>
      <c r="J20" s="1080">
        <f t="shared" si="0"/>
        <v>95.38461538461539</v>
      </c>
    </row>
    <row r="21" spans="1:10" ht="21.75" customHeight="1">
      <c r="A21" s="817"/>
      <c r="B21" s="817"/>
      <c r="C21" s="825"/>
      <c r="D21" s="58"/>
      <c r="E21" s="62" t="s">
        <v>215</v>
      </c>
      <c r="F21" s="996" t="s">
        <v>216</v>
      </c>
      <c r="G21" s="1009">
        <v>5.5</v>
      </c>
      <c r="H21" s="942">
        <v>6.5</v>
      </c>
      <c r="I21" s="943">
        <v>6.2</v>
      </c>
      <c r="J21" s="1081">
        <f t="shared" si="0"/>
        <v>95.38461538461539</v>
      </c>
    </row>
    <row r="22" spans="3:10" ht="27.75" customHeight="1">
      <c r="C22" s="825"/>
      <c r="D22" s="64">
        <v>223</v>
      </c>
      <c r="E22" s="64"/>
      <c r="F22" s="995" t="s">
        <v>217</v>
      </c>
      <c r="G22" s="1008">
        <f>SUM(G23:G25)</f>
        <v>235</v>
      </c>
      <c r="H22" s="940">
        <f>SUM(H23:H25)</f>
        <v>300.4</v>
      </c>
      <c r="I22" s="941">
        <f>SUM(I23:I25)</f>
        <v>250.7</v>
      </c>
      <c r="J22" s="1080">
        <f t="shared" si="0"/>
        <v>83.45539280958721</v>
      </c>
    </row>
    <row r="23" spans="1:10" ht="19.5" customHeight="1">
      <c r="A23" s="817"/>
      <c r="B23" s="817"/>
      <c r="C23" s="825"/>
      <c r="D23" s="58"/>
      <c r="E23" s="62" t="s">
        <v>218</v>
      </c>
      <c r="F23" s="996" t="s">
        <v>219</v>
      </c>
      <c r="G23" s="1009">
        <v>190</v>
      </c>
      <c r="H23" s="942">
        <v>267.8</v>
      </c>
      <c r="I23" s="943">
        <v>222.7</v>
      </c>
      <c r="J23" s="1081">
        <f t="shared" si="0"/>
        <v>83.15907393577295</v>
      </c>
    </row>
    <row r="24" spans="1:10" ht="19.5" customHeight="1">
      <c r="A24" s="817"/>
      <c r="B24" s="817"/>
      <c r="C24" s="825"/>
      <c r="D24" s="58"/>
      <c r="E24" s="62" t="s">
        <v>220</v>
      </c>
      <c r="F24" s="996" t="s">
        <v>221</v>
      </c>
      <c r="G24" s="1009">
        <v>45</v>
      </c>
      <c r="H24" s="942">
        <v>19.7</v>
      </c>
      <c r="I24" s="943">
        <v>23.2</v>
      </c>
      <c r="J24" s="1081">
        <f t="shared" si="0"/>
        <v>117.76649746192894</v>
      </c>
    </row>
    <row r="25" spans="1:10" ht="19.5" customHeight="1">
      <c r="A25" s="817"/>
      <c r="B25" s="817"/>
      <c r="C25" s="825"/>
      <c r="D25" s="58"/>
      <c r="E25" s="83">
        <v>223004</v>
      </c>
      <c r="F25" s="996" t="s">
        <v>550</v>
      </c>
      <c r="G25" s="1009"/>
      <c r="H25" s="942">
        <v>12.9</v>
      </c>
      <c r="I25" s="943">
        <v>4.8</v>
      </c>
      <c r="J25" s="1081">
        <f t="shared" si="0"/>
        <v>37.2093023255814</v>
      </c>
    </row>
    <row r="26" spans="3:10" ht="19.5" customHeight="1">
      <c r="C26" s="825"/>
      <c r="D26" s="61">
        <v>229</v>
      </c>
      <c r="E26" s="61"/>
      <c r="F26" s="995" t="s">
        <v>222</v>
      </c>
      <c r="G26" s="1008">
        <f>G27</f>
        <v>2</v>
      </c>
      <c r="H26" s="940">
        <f>H27</f>
        <v>2</v>
      </c>
      <c r="I26" s="941">
        <f>I27</f>
        <v>1.9</v>
      </c>
      <c r="J26" s="1080">
        <f t="shared" si="0"/>
        <v>95</v>
      </c>
    </row>
    <row r="27" spans="1:10" ht="19.5" customHeight="1">
      <c r="A27" s="817"/>
      <c r="B27" s="817"/>
      <c r="C27" s="825"/>
      <c r="D27" s="58"/>
      <c r="E27" s="62" t="s">
        <v>223</v>
      </c>
      <c r="F27" s="996" t="s">
        <v>224</v>
      </c>
      <c r="G27" s="1009">
        <v>2</v>
      </c>
      <c r="H27" s="942">
        <v>2</v>
      </c>
      <c r="I27" s="943">
        <v>1.9</v>
      </c>
      <c r="J27" s="1081">
        <f t="shared" si="0"/>
        <v>95</v>
      </c>
    </row>
    <row r="28" spans="1:251" s="47" customFormat="1" ht="19.5" customHeight="1">
      <c r="A28" s="818"/>
      <c r="B28" s="818"/>
      <c r="C28" s="825"/>
      <c r="D28" s="61">
        <v>240</v>
      </c>
      <c r="E28" s="61"/>
      <c r="F28" s="995" t="s">
        <v>225</v>
      </c>
      <c r="G28" s="1008">
        <f>G29</f>
        <v>2</v>
      </c>
      <c r="H28" s="940">
        <f>H29</f>
        <v>30.5</v>
      </c>
      <c r="I28" s="941">
        <f>I29</f>
        <v>30.8</v>
      </c>
      <c r="J28" s="1080">
        <f t="shared" si="0"/>
        <v>100.98360655737706</v>
      </c>
      <c r="IM28" s="816"/>
      <c r="IN28" s="816"/>
      <c r="IO28" s="816"/>
      <c r="IP28" s="816"/>
      <c r="IQ28" s="816"/>
    </row>
    <row r="29" spans="1:10" ht="19.5" customHeight="1">
      <c r="A29" s="817"/>
      <c r="B29" s="817"/>
      <c r="C29" s="825"/>
      <c r="D29" s="58"/>
      <c r="E29" s="63">
        <v>242</v>
      </c>
      <c r="F29" s="996" t="s">
        <v>226</v>
      </c>
      <c r="G29" s="1009">
        <v>2</v>
      </c>
      <c r="H29" s="942">
        <v>30.5</v>
      </c>
      <c r="I29" s="943">
        <v>30.8</v>
      </c>
      <c r="J29" s="1081">
        <f t="shared" si="0"/>
        <v>100.98360655737706</v>
      </c>
    </row>
    <row r="30" spans="3:10" ht="19.5" customHeight="1">
      <c r="C30" s="825"/>
      <c r="D30" s="61">
        <v>292</v>
      </c>
      <c r="E30" s="61"/>
      <c r="F30" s="995" t="s">
        <v>227</v>
      </c>
      <c r="G30" s="1008">
        <f>SUM(G32:G33)</f>
        <v>163.6</v>
      </c>
      <c r="H30" s="940">
        <f>SUM(H32:H33)</f>
        <v>33.6</v>
      </c>
      <c r="I30" s="941">
        <f>SUM(I31:I33)</f>
        <v>176</v>
      </c>
      <c r="J30" s="1080">
        <f t="shared" si="0"/>
        <v>523.8095238095239</v>
      </c>
    </row>
    <row r="31" spans="3:10" ht="19.5" customHeight="1">
      <c r="C31" s="825"/>
      <c r="D31" s="61"/>
      <c r="E31" s="937">
        <v>292006</v>
      </c>
      <c r="F31" s="997" t="s">
        <v>573</v>
      </c>
      <c r="G31" s="1008"/>
      <c r="H31" s="948"/>
      <c r="I31" s="949">
        <v>0.1</v>
      </c>
      <c r="J31" s="1081">
        <v>0</v>
      </c>
    </row>
    <row r="32" spans="1:10" ht="19.5" customHeight="1">
      <c r="A32" s="817"/>
      <c r="B32" s="817"/>
      <c r="C32" s="825"/>
      <c r="D32" s="61"/>
      <c r="E32" s="66" t="s">
        <v>491</v>
      </c>
      <c r="F32" s="998" t="s">
        <v>228</v>
      </c>
      <c r="G32" s="1009">
        <v>20</v>
      </c>
      <c r="H32" s="942">
        <v>25</v>
      </c>
      <c r="I32" s="943">
        <v>32.5</v>
      </c>
      <c r="J32" s="1081">
        <f t="shared" si="0"/>
        <v>130</v>
      </c>
    </row>
    <row r="33" spans="3:10" ht="19.5" customHeight="1">
      <c r="C33" s="825"/>
      <c r="D33" s="58"/>
      <c r="E33" s="66">
        <v>292017</v>
      </c>
      <c r="F33" s="998" t="s">
        <v>490</v>
      </c>
      <c r="G33" s="1009">
        <v>143.6</v>
      </c>
      <c r="H33" s="942">
        <v>8.6</v>
      </c>
      <c r="I33" s="943">
        <v>143.4</v>
      </c>
      <c r="J33" s="1081">
        <f t="shared" si="0"/>
        <v>1667.4418604651166</v>
      </c>
    </row>
    <row r="34" spans="3:10" ht="16.5" customHeight="1">
      <c r="C34" s="824">
        <v>300</v>
      </c>
      <c r="D34" s="67"/>
      <c r="E34" s="68"/>
      <c r="F34" s="994" t="s">
        <v>51</v>
      </c>
      <c r="G34" s="1007">
        <f>G35+G36</f>
        <v>1677.0999999999997</v>
      </c>
      <c r="H34" s="938">
        <f>H35+H36</f>
        <v>2283.499999999999</v>
      </c>
      <c r="I34" s="939">
        <f>I35+I36</f>
        <v>2032</v>
      </c>
      <c r="J34" s="1079">
        <f t="shared" si="0"/>
        <v>88.98620538646817</v>
      </c>
    </row>
    <row r="35" spans="3:10" ht="15" customHeight="1">
      <c r="C35" s="825"/>
      <c r="D35" s="61">
        <v>311</v>
      </c>
      <c r="E35" s="61"/>
      <c r="F35" s="995" t="s">
        <v>229</v>
      </c>
      <c r="G35" s="1012">
        <v>6.6</v>
      </c>
      <c r="H35" s="950">
        <v>10</v>
      </c>
      <c r="I35" s="951">
        <v>8.4</v>
      </c>
      <c r="J35" s="1067">
        <f t="shared" si="0"/>
        <v>84.00000000000001</v>
      </c>
    </row>
    <row r="36" spans="1:10" ht="15" customHeight="1">
      <c r="A36" s="817"/>
      <c r="B36" s="817"/>
      <c r="C36" s="825"/>
      <c r="D36" s="61">
        <v>312</v>
      </c>
      <c r="E36" s="61"/>
      <c r="F36" s="995" t="s">
        <v>230</v>
      </c>
      <c r="G36" s="1008">
        <f>SUM(G38:G61)</f>
        <v>1670.4999999999998</v>
      </c>
      <c r="H36" s="940">
        <f>SUM(H38:H61)</f>
        <v>2273.499999999999</v>
      </c>
      <c r="I36" s="941">
        <f>SUM(I38:I61)</f>
        <v>2023.6</v>
      </c>
      <c r="J36" s="1080">
        <f t="shared" si="0"/>
        <v>89.0081372333407</v>
      </c>
    </row>
    <row r="37" spans="1:10" ht="15" customHeight="1">
      <c r="A37" s="817"/>
      <c r="B37" s="817"/>
      <c r="C37" s="825"/>
      <c r="D37" s="58"/>
      <c r="E37" s="62" t="s">
        <v>231</v>
      </c>
      <c r="F37" s="998" t="s">
        <v>232</v>
      </c>
      <c r="G37" s="1010"/>
      <c r="H37" s="944"/>
      <c r="I37" s="945"/>
      <c r="J37" s="1082"/>
    </row>
    <row r="38" spans="1:10" ht="15" customHeight="1">
      <c r="A38" s="817"/>
      <c r="B38" s="817"/>
      <c r="C38" s="825"/>
      <c r="D38" s="58"/>
      <c r="E38" s="58"/>
      <c r="F38" s="998" t="s">
        <v>233</v>
      </c>
      <c r="G38" s="1009">
        <v>13.2</v>
      </c>
      <c r="H38" s="942">
        <v>13.2</v>
      </c>
      <c r="I38" s="943">
        <v>12.9</v>
      </c>
      <c r="J38" s="1081">
        <f t="shared" si="0"/>
        <v>97.72727272727273</v>
      </c>
    </row>
    <row r="39" spans="1:10" ht="15" customHeight="1">
      <c r="A39" s="817"/>
      <c r="B39" s="817"/>
      <c r="C39" s="825"/>
      <c r="D39" s="58"/>
      <c r="E39" s="58"/>
      <c r="F39" s="998" t="s">
        <v>234</v>
      </c>
      <c r="G39" s="1009">
        <v>19.9</v>
      </c>
      <c r="H39" s="942">
        <v>19.9</v>
      </c>
      <c r="I39" s="943">
        <v>21.7</v>
      </c>
      <c r="J39" s="1081">
        <f t="shared" si="0"/>
        <v>109.04522613065326</v>
      </c>
    </row>
    <row r="40" spans="1:10" ht="15" customHeight="1">
      <c r="A40" s="817"/>
      <c r="B40" s="817"/>
      <c r="C40" s="825"/>
      <c r="D40" s="58"/>
      <c r="E40" s="58"/>
      <c r="F40" s="998" t="s">
        <v>487</v>
      </c>
      <c r="G40" s="1009">
        <v>1380</v>
      </c>
      <c r="H40" s="942">
        <v>1428</v>
      </c>
      <c r="I40" s="943">
        <v>1464.7</v>
      </c>
      <c r="J40" s="1081">
        <f t="shared" si="0"/>
        <v>102.5700280112045</v>
      </c>
    </row>
    <row r="41" spans="1:10" ht="15" customHeight="1">
      <c r="A41" s="817"/>
      <c r="B41" s="817"/>
      <c r="C41" s="825"/>
      <c r="D41" s="58"/>
      <c r="E41" s="58"/>
      <c r="F41" s="998" t="s">
        <v>488</v>
      </c>
      <c r="G41" s="1009">
        <v>17</v>
      </c>
      <c r="H41" s="942">
        <v>17</v>
      </c>
      <c r="I41" s="943">
        <v>14.9</v>
      </c>
      <c r="J41" s="1081">
        <f t="shared" si="0"/>
        <v>87.6470588235294</v>
      </c>
    </row>
    <row r="42" spans="1:10" ht="15" customHeight="1">
      <c r="A42" s="817"/>
      <c r="B42" s="817"/>
      <c r="C42" s="825"/>
      <c r="D42" s="58"/>
      <c r="E42" s="58"/>
      <c r="F42" s="998" t="s">
        <v>235</v>
      </c>
      <c r="G42" s="1009">
        <v>6.2</v>
      </c>
      <c r="H42" s="942">
        <v>6.2</v>
      </c>
      <c r="I42" s="943">
        <v>6.9</v>
      </c>
      <c r="J42" s="1081">
        <f t="shared" si="0"/>
        <v>111.29032258064517</v>
      </c>
    </row>
    <row r="43" spans="1:10" ht="15" customHeight="1">
      <c r="A43" s="817"/>
      <c r="B43" s="817"/>
      <c r="C43" s="825"/>
      <c r="D43" s="58"/>
      <c r="E43" s="58"/>
      <c r="F43" s="998" t="s">
        <v>454</v>
      </c>
      <c r="G43" s="1009">
        <v>14.8</v>
      </c>
      <c r="H43" s="942">
        <v>14.8</v>
      </c>
      <c r="I43" s="943">
        <v>15.1</v>
      </c>
      <c r="J43" s="1081">
        <f t="shared" si="0"/>
        <v>102.02702702702702</v>
      </c>
    </row>
    <row r="44" spans="1:10" ht="15" customHeight="1">
      <c r="A44" s="817"/>
      <c r="B44" s="817"/>
      <c r="C44" s="825"/>
      <c r="D44" s="58"/>
      <c r="E44" s="58"/>
      <c r="F44" s="998" t="s">
        <v>574</v>
      </c>
      <c r="G44" s="1009"/>
      <c r="H44" s="942"/>
      <c r="I44" s="943">
        <v>0.5</v>
      </c>
      <c r="J44" s="1081">
        <v>0</v>
      </c>
    </row>
    <row r="45" spans="1:10" ht="15" customHeight="1">
      <c r="A45" s="817"/>
      <c r="B45" s="817"/>
      <c r="C45" s="825"/>
      <c r="D45" s="58"/>
      <c r="E45" s="58"/>
      <c r="F45" s="998" t="s">
        <v>442</v>
      </c>
      <c r="G45" s="1009">
        <v>4</v>
      </c>
      <c r="H45" s="942">
        <v>4</v>
      </c>
      <c r="I45" s="943">
        <v>4.4</v>
      </c>
      <c r="J45" s="1081">
        <f t="shared" si="0"/>
        <v>110.00000000000001</v>
      </c>
    </row>
    <row r="46" spans="1:10" ht="15" customHeight="1">
      <c r="A46" s="817"/>
      <c r="B46" s="817"/>
      <c r="C46" s="825"/>
      <c r="D46" s="58"/>
      <c r="E46" s="58"/>
      <c r="F46" s="998" t="s">
        <v>236</v>
      </c>
      <c r="G46" s="1009">
        <v>4.3</v>
      </c>
      <c r="H46" s="942">
        <v>4.3</v>
      </c>
      <c r="I46" s="943">
        <v>4</v>
      </c>
      <c r="J46" s="1081">
        <f t="shared" si="0"/>
        <v>93.02325581395348</v>
      </c>
    </row>
    <row r="47" spans="3:10" ht="15" customHeight="1">
      <c r="C47" s="825"/>
      <c r="D47" s="65"/>
      <c r="E47" s="58"/>
      <c r="F47" s="998" t="s">
        <v>524</v>
      </c>
      <c r="G47" s="1009">
        <v>15</v>
      </c>
      <c r="H47" s="942">
        <v>20</v>
      </c>
      <c r="I47" s="943">
        <v>17.8</v>
      </c>
      <c r="J47" s="1081">
        <f t="shared" si="0"/>
        <v>89</v>
      </c>
    </row>
    <row r="48" spans="3:10" ht="15" customHeight="1">
      <c r="C48" s="825"/>
      <c r="D48" s="58"/>
      <c r="E48" s="58"/>
      <c r="F48" s="998" t="s">
        <v>237</v>
      </c>
      <c r="G48" s="1009">
        <v>12.5</v>
      </c>
      <c r="H48" s="942">
        <v>12.5</v>
      </c>
      <c r="I48" s="943">
        <v>13.2</v>
      </c>
      <c r="J48" s="1081">
        <f t="shared" si="0"/>
        <v>105.60000000000001</v>
      </c>
    </row>
    <row r="49" spans="3:10" ht="15" customHeight="1">
      <c r="C49" s="825"/>
      <c r="D49" s="58"/>
      <c r="E49" s="58"/>
      <c r="F49" s="998" t="s">
        <v>238</v>
      </c>
      <c r="G49" s="1009">
        <v>3</v>
      </c>
      <c r="H49" s="942">
        <v>3</v>
      </c>
      <c r="I49" s="943">
        <v>1.1</v>
      </c>
      <c r="J49" s="1081">
        <f t="shared" si="0"/>
        <v>36.66666666666667</v>
      </c>
    </row>
    <row r="50" spans="3:10" ht="15" customHeight="1">
      <c r="C50" s="825"/>
      <c r="D50" s="58"/>
      <c r="E50" s="58"/>
      <c r="F50" s="998" t="s">
        <v>239</v>
      </c>
      <c r="G50" s="1009">
        <v>1.6</v>
      </c>
      <c r="H50" s="942">
        <v>1.6</v>
      </c>
      <c r="I50" s="943">
        <v>1.6</v>
      </c>
      <c r="J50" s="1081">
        <f t="shared" si="0"/>
        <v>100</v>
      </c>
    </row>
    <row r="51" spans="3:10" ht="15" customHeight="1">
      <c r="C51" s="827"/>
      <c r="D51" s="58"/>
      <c r="E51" s="58"/>
      <c r="F51" s="998" t="s">
        <v>528</v>
      </c>
      <c r="G51" s="1009">
        <v>14.3</v>
      </c>
      <c r="H51" s="942">
        <v>21.6</v>
      </c>
      <c r="I51" s="943">
        <v>20.3</v>
      </c>
      <c r="J51" s="1081">
        <f t="shared" si="0"/>
        <v>93.98148148148148</v>
      </c>
    </row>
    <row r="52" spans="3:251" s="48" customFormat="1" ht="15" customHeight="1">
      <c r="C52" s="827"/>
      <c r="D52" s="58"/>
      <c r="E52" s="58"/>
      <c r="F52" s="976" t="s">
        <v>240</v>
      </c>
      <c r="G52" s="1013">
        <v>99.2</v>
      </c>
      <c r="H52" s="952">
        <v>140</v>
      </c>
      <c r="I52" s="953">
        <v>153.7</v>
      </c>
      <c r="J52" s="1068">
        <f t="shared" si="0"/>
        <v>109.78571428571429</v>
      </c>
      <c r="IM52" s="819"/>
      <c r="IN52" s="819"/>
      <c r="IO52" s="819"/>
      <c r="IP52" s="819"/>
      <c r="IQ52" s="819"/>
    </row>
    <row r="53" spans="3:246" s="819" customFormat="1" ht="15" customHeight="1">
      <c r="C53" s="827"/>
      <c r="D53" s="58"/>
      <c r="E53" s="58"/>
      <c r="F53" s="976" t="s">
        <v>482</v>
      </c>
      <c r="G53" s="1013">
        <v>15.2</v>
      </c>
      <c r="H53" s="952">
        <v>26.6</v>
      </c>
      <c r="I53" s="953">
        <v>28</v>
      </c>
      <c r="J53" s="1068">
        <f t="shared" si="0"/>
        <v>105.26315789473684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</row>
    <row r="54" spans="1:246" s="819" customFormat="1" ht="15" customHeight="1">
      <c r="A54" s="820"/>
      <c r="B54" s="820"/>
      <c r="C54" s="827"/>
      <c r="D54" s="58"/>
      <c r="E54" s="58"/>
      <c r="F54" s="976" t="s">
        <v>525</v>
      </c>
      <c r="G54" s="1013">
        <v>49.2</v>
      </c>
      <c r="H54" s="952">
        <v>58</v>
      </c>
      <c r="I54" s="953">
        <v>59.3</v>
      </c>
      <c r="J54" s="1068">
        <f t="shared" si="0"/>
        <v>102.24137931034483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</row>
    <row r="55" spans="1:246" s="819" customFormat="1" ht="15" customHeight="1">
      <c r="A55" s="820"/>
      <c r="B55" s="820"/>
      <c r="C55" s="827"/>
      <c r="D55" s="58"/>
      <c r="E55" s="58"/>
      <c r="F55" s="999" t="s">
        <v>546</v>
      </c>
      <c r="G55" s="1013"/>
      <c r="H55" s="952">
        <v>416.8</v>
      </c>
      <c r="I55" s="953">
        <v>171.6</v>
      </c>
      <c r="J55" s="1068">
        <f t="shared" si="0"/>
        <v>41.170825335892516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</row>
    <row r="56" spans="1:246" s="819" customFormat="1" ht="15" customHeight="1">
      <c r="A56" s="820"/>
      <c r="B56" s="820"/>
      <c r="C56" s="827"/>
      <c r="D56" s="58"/>
      <c r="E56" s="58"/>
      <c r="F56" s="999" t="s">
        <v>547</v>
      </c>
      <c r="G56" s="1013"/>
      <c r="H56" s="952">
        <v>1.2</v>
      </c>
      <c r="I56" s="953">
        <v>4.2</v>
      </c>
      <c r="J56" s="1068">
        <f t="shared" si="0"/>
        <v>350.00000000000006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</row>
    <row r="57" spans="1:246" s="819" customFormat="1" ht="15" customHeight="1">
      <c r="A57" s="820"/>
      <c r="B57" s="820"/>
      <c r="C57" s="827"/>
      <c r="D57" s="58"/>
      <c r="E57" s="58"/>
      <c r="F57" s="999" t="s">
        <v>548</v>
      </c>
      <c r="G57" s="1013"/>
      <c r="H57" s="952">
        <v>6</v>
      </c>
      <c r="I57" s="953">
        <v>6</v>
      </c>
      <c r="J57" s="1068">
        <f t="shared" si="0"/>
        <v>100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</row>
    <row r="58" spans="1:246" s="819" customFormat="1" ht="15" customHeight="1">
      <c r="A58" s="820"/>
      <c r="B58" s="820"/>
      <c r="C58" s="827"/>
      <c r="D58" s="58"/>
      <c r="E58" s="58"/>
      <c r="F58" s="976" t="s">
        <v>549</v>
      </c>
      <c r="G58" s="1013"/>
      <c r="H58" s="946">
        <v>7.4</v>
      </c>
      <c r="I58" s="947">
        <v>0</v>
      </c>
      <c r="J58" s="1083">
        <f t="shared" si="0"/>
        <v>0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</row>
    <row r="59" spans="1:246" s="819" customFormat="1" ht="15" customHeight="1">
      <c r="A59" s="820"/>
      <c r="B59" s="820"/>
      <c r="C59" s="827"/>
      <c r="D59" s="58"/>
      <c r="E59" s="58"/>
      <c r="F59" s="976" t="s">
        <v>150</v>
      </c>
      <c r="G59" s="1013"/>
      <c r="H59" s="952">
        <v>19</v>
      </c>
      <c r="I59" s="953">
        <v>0</v>
      </c>
      <c r="J59" s="1068">
        <f t="shared" si="0"/>
        <v>0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</row>
    <row r="60" spans="1:246" s="819" customFormat="1" ht="15" customHeight="1">
      <c r="A60" s="820"/>
      <c r="B60" s="820"/>
      <c r="C60" s="827"/>
      <c r="D60" s="58"/>
      <c r="E60" s="58"/>
      <c r="F60" s="976" t="s">
        <v>151</v>
      </c>
      <c r="G60" s="1013"/>
      <c r="H60" s="952">
        <v>30.7</v>
      </c>
      <c r="I60" s="953">
        <v>0</v>
      </c>
      <c r="J60" s="1068">
        <f t="shared" si="0"/>
        <v>0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</row>
    <row r="61" spans="1:246" s="819" customFormat="1" ht="15" customHeight="1">
      <c r="A61" s="820"/>
      <c r="B61" s="820"/>
      <c r="C61" s="827"/>
      <c r="D61" s="58"/>
      <c r="E61" s="58"/>
      <c r="F61" s="964" t="s">
        <v>489</v>
      </c>
      <c r="G61" s="1014">
        <v>1.1</v>
      </c>
      <c r="H61" s="954">
        <v>1.7</v>
      </c>
      <c r="I61" s="955">
        <v>1.7</v>
      </c>
      <c r="J61" s="1084">
        <f t="shared" si="0"/>
        <v>100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</row>
    <row r="62" spans="1:251" s="50" customFormat="1" ht="18" customHeight="1">
      <c r="A62" s="820"/>
      <c r="B62" s="820"/>
      <c r="C62" s="828"/>
      <c r="D62" s="71"/>
      <c r="E62" s="72"/>
      <c r="F62" s="1000" t="s">
        <v>241</v>
      </c>
      <c r="G62" s="1015">
        <f>G2+G14+G34</f>
        <v>5936.999999999999</v>
      </c>
      <c r="H62" s="956">
        <f>H2+H14+H34</f>
        <v>6501.399999999999</v>
      </c>
      <c r="I62" s="957">
        <f>I2+I14+I34</f>
        <v>5787.4</v>
      </c>
      <c r="J62" s="1085">
        <f t="shared" si="0"/>
        <v>89.01775002307197</v>
      </c>
      <c r="IM62" s="819"/>
      <c r="IN62" s="819"/>
      <c r="IO62" s="819"/>
      <c r="IP62" s="819"/>
      <c r="IQ62" s="819"/>
    </row>
    <row r="63" spans="1:246" s="819" customFormat="1" ht="15" customHeight="1">
      <c r="A63" s="820"/>
      <c r="B63" s="820"/>
      <c r="C63" s="824" t="s">
        <v>242</v>
      </c>
      <c r="D63" s="67"/>
      <c r="E63" s="67"/>
      <c r="F63" s="994" t="s">
        <v>50</v>
      </c>
      <c r="G63" s="1007">
        <f>SUM(G64:G66)</f>
        <v>4315.3</v>
      </c>
      <c r="H63" s="938">
        <f>SUM(H64:H67)</f>
        <v>4033.2</v>
      </c>
      <c r="I63" s="939">
        <f>SUM(I64:I67)</f>
        <v>1966.7</v>
      </c>
      <c r="J63" s="1079">
        <f t="shared" si="0"/>
        <v>48.762769017157595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</row>
    <row r="64" spans="3:246" s="819" customFormat="1" ht="15" customHeight="1">
      <c r="C64" s="825">
        <v>200</v>
      </c>
      <c r="D64" s="58"/>
      <c r="E64" s="63">
        <v>231</v>
      </c>
      <c r="F64" s="996" t="s">
        <v>243</v>
      </c>
      <c r="G64" s="1009">
        <v>262.2</v>
      </c>
      <c r="H64" s="942">
        <v>182.2</v>
      </c>
      <c r="I64" s="943">
        <v>177.2</v>
      </c>
      <c r="J64" s="1081">
        <f t="shared" si="0"/>
        <v>97.25576289791438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</row>
    <row r="65" spans="3:10" ht="15" customHeight="1">
      <c r="C65" s="825"/>
      <c r="D65" s="58"/>
      <c r="E65" s="62" t="s">
        <v>244</v>
      </c>
      <c r="F65" s="996" t="s">
        <v>245</v>
      </c>
      <c r="G65" s="1009">
        <v>360.6</v>
      </c>
      <c r="H65" s="942">
        <v>158.5</v>
      </c>
      <c r="I65" s="943">
        <v>184.7</v>
      </c>
      <c r="J65" s="1081">
        <f t="shared" si="0"/>
        <v>116.52996845425866</v>
      </c>
    </row>
    <row r="66" spans="3:10" ht="15" customHeight="1">
      <c r="C66" s="825">
        <v>320</v>
      </c>
      <c r="D66" s="58"/>
      <c r="E66" s="62" t="s">
        <v>246</v>
      </c>
      <c r="F66" s="996" t="s">
        <v>483</v>
      </c>
      <c r="G66" s="1009">
        <v>3692.5</v>
      </c>
      <c r="H66" s="942">
        <v>3692.5</v>
      </c>
      <c r="I66" s="943">
        <v>928.1</v>
      </c>
      <c r="J66" s="1081">
        <f t="shared" si="0"/>
        <v>25.134732566012186</v>
      </c>
    </row>
    <row r="67" spans="3:10" ht="15" customHeight="1">
      <c r="C67" s="825"/>
      <c r="D67" s="58"/>
      <c r="E67" s="83">
        <v>322002</v>
      </c>
      <c r="F67" s="996" t="s">
        <v>575</v>
      </c>
      <c r="G67" s="1009"/>
      <c r="H67" s="942"/>
      <c r="I67" s="943">
        <v>676.7</v>
      </c>
      <c r="J67" s="1081">
        <v>0</v>
      </c>
    </row>
    <row r="68" spans="3:10" ht="15" customHeight="1">
      <c r="C68" s="829"/>
      <c r="D68" s="67"/>
      <c r="E68" s="67"/>
      <c r="F68" s="994" t="s">
        <v>247</v>
      </c>
      <c r="G68" s="1007">
        <f>SUM(G69:G71)</f>
        <v>1202.6</v>
      </c>
      <c r="H68" s="938">
        <f>SUM(H69:H71)</f>
        <v>1084.8999999999999</v>
      </c>
      <c r="I68" s="939">
        <f>SUM(I69:I71)</f>
        <v>1165.5</v>
      </c>
      <c r="J68" s="1079">
        <f t="shared" si="0"/>
        <v>107.4292561526408</v>
      </c>
    </row>
    <row r="69" spans="3:10" ht="15" customHeight="1">
      <c r="C69" s="825">
        <v>400</v>
      </c>
      <c r="D69" s="58"/>
      <c r="E69" s="63">
        <v>453</v>
      </c>
      <c r="F69" s="996" t="s">
        <v>484</v>
      </c>
      <c r="G69" s="1009">
        <v>476</v>
      </c>
      <c r="H69" s="942">
        <v>574.3</v>
      </c>
      <c r="I69" s="943">
        <v>545.6</v>
      </c>
      <c r="J69" s="1081">
        <f aca="true" t="shared" si="1" ref="J69:J77">+I69/H69*100</f>
        <v>95.0026118753265</v>
      </c>
    </row>
    <row r="70" spans="3:10" ht="15" customHeight="1">
      <c r="C70" s="825"/>
      <c r="D70" s="58"/>
      <c r="E70" s="63">
        <v>454</v>
      </c>
      <c r="F70" s="996" t="s">
        <v>248</v>
      </c>
      <c r="G70" s="1009">
        <v>132.2</v>
      </c>
      <c r="H70" s="942">
        <v>8.9</v>
      </c>
      <c r="I70" s="943">
        <v>120.8</v>
      </c>
      <c r="J70" s="1081">
        <f t="shared" si="1"/>
        <v>1357.3033707865168</v>
      </c>
    </row>
    <row r="71" spans="3:10" ht="15" customHeight="1">
      <c r="C71" s="825">
        <v>500</v>
      </c>
      <c r="D71" s="69"/>
      <c r="E71" s="70">
        <v>513002</v>
      </c>
      <c r="F71" s="1001" t="s">
        <v>485</v>
      </c>
      <c r="G71" s="1008">
        <f>SUM(G73:G76)</f>
        <v>594.4</v>
      </c>
      <c r="H71" s="940">
        <f>SUM(H73:H76)</f>
        <v>501.7</v>
      </c>
      <c r="I71" s="941">
        <f>SUM(I73:I76)</f>
        <v>499.09999999999997</v>
      </c>
      <c r="J71" s="1080">
        <f t="shared" si="1"/>
        <v>99.48176200916882</v>
      </c>
    </row>
    <row r="72" spans="3:10" ht="15" customHeight="1">
      <c r="C72" s="825"/>
      <c r="D72" s="58"/>
      <c r="E72" s="62"/>
      <c r="F72" s="1002" t="s">
        <v>530</v>
      </c>
      <c r="G72" s="1016">
        <v>245</v>
      </c>
      <c r="H72" s="958">
        <f>+H73</f>
        <v>101.7</v>
      </c>
      <c r="I72" s="959">
        <f>+I73</f>
        <v>101.7</v>
      </c>
      <c r="J72" s="1086">
        <f t="shared" si="1"/>
        <v>100</v>
      </c>
    </row>
    <row r="73" spans="3:10" ht="15" customHeight="1">
      <c r="C73" s="825"/>
      <c r="D73" s="58"/>
      <c r="E73" s="62"/>
      <c r="F73" s="1003" t="s">
        <v>531</v>
      </c>
      <c r="G73" s="1009">
        <v>123.6</v>
      </c>
      <c r="H73" s="942">
        <v>101.7</v>
      </c>
      <c r="I73" s="943">
        <v>101.7</v>
      </c>
      <c r="J73" s="1081">
        <f t="shared" si="1"/>
        <v>100</v>
      </c>
    </row>
    <row r="74" spans="3:10" ht="15.75" customHeight="1">
      <c r="C74" s="825"/>
      <c r="D74" s="58"/>
      <c r="E74" s="62"/>
      <c r="F74" s="1004" t="s">
        <v>532</v>
      </c>
      <c r="G74" s="1009">
        <v>121.4</v>
      </c>
      <c r="H74" s="942">
        <v>0</v>
      </c>
      <c r="I74" s="943">
        <v>0</v>
      </c>
      <c r="J74" s="1081">
        <v>0</v>
      </c>
    </row>
    <row r="75" spans="3:246" s="821" customFormat="1" ht="15" customHeight="1">
      <c r="C75" s="830"/>
      <c r="D75" s="84"/>
      <c r="E75" s="85"/>
      <c r="F75" s="1005" t="s">
        <v>554</v>
      </c>
      <c r="G75" s="1016"/>
      <c r="H75" s="958">
        <v>400</v>
      </c>
      <c r="I75" s="959">
        <v>397.4</v>
      </c>
      <c r="J75" s="1086">
        <f t="shared" si="1"/>
        <v>99.35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</row>
    <row r="76" spans="3:10" ht="15" customHeight="1">
      <c r="C76" s="825"/>
      <c r="D76" s="58"/>
      <c r="E76" s="62"/>
      <c r="F76" s="1002" t="s">
        <v>533</v>
      </c>
      <c r="G76" s="1016">
        <v>349.4</v>
      </c>
      <c r="H76" s="958">
        <v>0</v>
      </c>
      <c r="I76" s="959">
        <v>0</v>
      </c>
      <c r="J76" s="1086">
        <v>0</v>
      </c>
    </row>
    <row r="77" spans="3:10" ht="21" customHeight="1" thickBot="1">
      <c r="C77" s="831"/>
      <c r="D77" s="832"/>
      <c r="E77" s="832"/>
      <c r="F77" s="1006" t="s">
        <v>249</v>
      </c>
      <c r="G77" s="1017">
        <f>G68+G62+G63</f>
        <v>11454.899999999998</v>
      </c>
      <c r="H77" s="960">
        <f>H68+H62+H63</f>
        <v>11619.499999999998</v>
      </c>
      <c r="I77" s="961">
        <f>I68+I62+I63</f>
        <v>8919.6</v>
      </c>
      <c r="J77" s="1087">
        <f t="shared" si="1"/>
        <v>76.76406041568056</v>
      </c>
    </row>
  </sheetData>
  <sheetProtection/>
  <printOptions horizontalCentered="1"/>
  <pageMargins left="0.15748031496062992" right="0.15748031496062992" top="0.8661417322834646" bottom="0.9448818897637796" header="0.35433070866141736" footer="0.5118110236220472"/>
  <pageSetup horizontalDpi="300" verticalDpi="300" orientation="portrait" paperSize="9" r:id="rId1"/>
  <headerFooter alignWithMargins="0">
    <oddHeader>&amp;C&amp;"Times New Roman,Obyčejné"&amp;12Plnenie programového rozpočtu mesta Svidník v roku  2010 (v tis. €)</oddHeader>
    <oddFooter>&amp;L&amp;A &amp;C&amp;P z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3"/>
  <sheetViews>
    <sheetView zoomScale="115" zoomScaleNormal="115" zoomScalePageLayoutView="0" workbookViewId="0" topLeftCell="C4">
      <pane ySplit="6" topLeftCell="A31" activePane="bottomLeft" state="frozen"/>
      <selection pane="topLeft" activeCell="A4" sqref="A4"/>
      <selection pane="bottomLeft" activeCell="K37" sqref="K37"/>
    </sheetView>
  </sheetViews>
  <sheetFormatPr defaultColWidth="9.140625" defaultRowHeight="12.75"/>
  <cols>
    <col min="1" max="1" width="3.8515625" style="148" customWidth="1"/>
    <col min="2" max="2" width="3.421875" style="149" customWidth="1"/>
    <col min="3" max="3" width="7.28125" style="150" customWidth="1"/>
    <col min="4" max="4" width="2.7109375" style="150" customWidth="1"/>
    <col min="5" max="5" width="33.7109375" style="150" customWidth="1"/>
    <col min="6" max="6" width="8.57421875" style="150" customWidth="1"/>
    <col min="7" max="7" width="7.7109375" style="150" customWidth="1"/>
    <col min="8" max="8" width="8.140625" style="579" customWidth="1"/>
    <col min="9" max="10" width="7.421875" style="150" customWidth="1"/>
    <col min="11" max="11" width="8.7109375" style="150" customWidth="1"/>
    <col min="12" max="12" width="0.85546875" style="152" customWidth="1"/>
    <col min="13" max="13" width="0.13671875" style="150" customWidth="1"/>
    <col min="14" max="14" width="6.140625" style="150" bestFit="1" customWidth="1"/>
    <col min="15" max="15" width="4.00390625" style="150" customWidth="1"/>
    <col min="16" max="16" width="4.140625" style="150" customWidth="1"/>
    <col min="17" max="18" width="7.28125" style="150" customWidth="1"/>
    <col min="19" max="19" width="8.00390625" style="150" customWidth="1"/>
    <col min="20" max="20" width="0.85546875" style="152" customWidth="1"/>
    <col min="21" max="21" width="9.28125" style="150" customWidth="1"/>
    <col min="22" max="23" width="9.140625" style="250" customWidth="1"/>
    <col min="24" max="16384" width="9.140625" style="150" customWidth="1"/>
  </cols>
  <sheetData>
    <row r="1" spans="5:21" ht="14.25" customHeight="1">
      <c r="E1" s="151"/>
      <c r="H1" s="593"/>
      <c r="K1" s="153"/>
      <c r="O1" s="594"/>
      <c r="Q1" s="153"/>
      <c r="R1" s="153"/>
      <c r="S1" s="153"/>
      <c r="U1" s="153"/>
    </row>
    <row r="2" ht="18.75">
      <c r="B2" s="249" t="s">
        <v>153</v>
      </c>
    </row>
    <row r="3" ht="8.25" customHeight="1" thickBot="1"/>
    <row r="4" spans="1:23" ht="13.5" customHeight="1" thickBot="1">
      <c r="A4" s="1135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88"/>
      <c r="M4" s="1149"/>
      <c r="N4" s="1149"/>
      <c r="O4" s="1149"/>
      <c r="P4" s="1149"/>
      <c r="Q4" s="1149"/>
      <c r="R4" s="1149"/>
      <c r="S4" s="1149"/>
      <c r="T4" s="595"/>
      <c r="U4" s="256"/>
      <c r="V4" s="239"/>
      <c r="W4" s="240"/>
    </row>
    <row r="5" spans="1:23" ht="18.75" customHeight="1">
      <c r="A5" s="1195"/>
      <c r="B5" s="1114"/>
      <c r="C5" s="1114"/>
      <c r="D5" s="1114"/>
      <c r="E5" s="1185"/>
      <c r="F5" s="1189" t="s">
        <v>30</v>
      </c>
      <c r="G5" s="1189"/>
      <c r="H5" s="1189"/>
      <c r="I5" s="1189"/>
      <c r="J5" s="1189"/>
      <c r="K5" s="1189"/>
      <c r="L5" s="596"/>
      <c r="M5" s="1192" t="s">
        <v>29</v>
      </c>
      <c r="N5" s="1192"/>
      <c r="O5" s="1192"/>
      <c r="P5" s="1192"/>
      <c r="Q5" s="1192"/>
      <c r="R5" s="1192"/>
      <c r="S5" s="1192"/>
      <c r="T5" s="597"/>
      <c r="U5" s="60" t="s">
        <v>31</v>
      </c>
      <c r="V5" s="60" t="s">
        <v>558</v>
      </c>
      <c r="W5" s="59" t="s">
        <v>558</v>
      </c>
    </row>
    <row r="6" spans="1:23" ht="13.5" thickBot="1">
      <c r="A6" s="598"/>
      <c r="B6" s="411" t="s">
        <v>65</v>
      </c>
      <c r="C6" s="599" t="s">
        <v>27</v>
      </c>
      <c r="D6" s="1186" t="s">
        <v>28</v>
      </c>
      <c r="E6" s="1190"/>
      <c r="F6" s="1190"/>
      <c r="G6" s="1190"/>
      <c r="H6" s="1190"/>
      <c r="I6" s="1190"/>
      <c r="J6" s="1190"/>
      <c r="K6" s="1191"/>
      <c r="L6" s="572"/>
      <c r="M6" s="1193"/>
      <c r="N6" s="1128"/>
      <c r="O6" s="1128"/>
      <c r="P6" s="1128"/>
      <c r="Q6" s="1128"/>
      <c r="R6" s="1128"/>
      <c r="S6" s="1128"/>
      <c r="T6" s="572"/>
      <c r="U6" s="60"/>
      <c r="V6" s="60" t="s">
        <v>559</v>
      </c>
      <c r="W6" s="59" t="s">
        <v>559</v>
      </c>
    </row>
    <row r="7" spans="1:23" ht="12.75">
      <c r="A7" s="600"/>
      <c r="B7" s="411" t="s">
        <v>66</v>
      </c>
      <c r="C7" s="599" t="s">
        <v>64</v>
      </c>
      <c r="D7" s="599"/>
      <c r="E7" s="601" t="s">
        <v>20</v>
      </c>
      <c r="F7" s="1186">
        <v>610</v>
      </c>
      <c r="G7" s="1186">
        <v>620</v>
      </c>
      <c r="H7" s="1106">
        <v>630</v>
      </c>
      <c r="I7" s="1186">
        <v>640</v>
      </c>
      <c r="J7" s="1119" t="s">
        <v>562</v>
      </c>
      <c r="K7" s="1108" t="s">
        <v>558</v>
      </c>
      <c r="L7" s="572"/>
      <c r="M7" s="1197">
        <v>711</v>
      </c>
      <c r="N7" s="1187">
        <v>713</v>
      </c>
      <c r="O7" s="1187">
        <v>714</v>
      </c>
      <c r="P7" s="1187">
        <v>716</v>
      </c>
      <c r="Q7" s="1199">
        <v>717</v>
      </c>
      <c r="R7" s="1119" t="s">
        <v>562</v>
      </c>
      <c r="S7" s="1108" t="s">
        <v>558</v>
      </c>
      <c r="T7" s="572"/>
      <c r="U7" s="60" t="s">
        <v>49</v>
      </c>
      <c r="V7" s="60" t="s">
        <v>49</v>
      </c>
      <c r="W7" s="1118" t="s">
        <v>560</v>
      </c>
    </row>
    <row r="8" spans="1:23" ht="13.5" thickBot="1">
      <c r="A8" s="602"/>
      <c r="B8" s="411"/>
      <c r="C8" s="599"/>
      <c r="D8" s="599"/>
      <c r="E8" s="601"/>
      <c r="F8" s="1186"/>
      <c r="G8" s="1186"/>
      <c r="H8" s="1106"/>
      <c r="I8" s="1186"/>
      <c r="J8" s="1194"/>
      <c r="K8" s="1108"/>
      <c r="L8" s="572"/>
      <c r="M8" s="1198"/>
      <c r="N8" s="1187"/>
      <c r="O8" s="1187"/>
      <c r="P8" s="1187"/>
      <c r="Q8" s="1187"/>
      <c r="R8" s="1120"/>
      <c r="S8" s="1109"/>
      <c r="T8" s="573"/>
      <c r="U8" s="242">
        <v>2010</v>
      </c>
      <c r="V8" s="242" t="s">
        <v>561</v>
      </c>
      <c r="W8" s="1196"/>
    </row>
    <row r="9" spans="1:23" ht="15" customHeight="1" thickBot="1" thickTop="1">
      <c r="A9" s="603">
        <v>1</v>
      </c>
      <c r="B9" s="56" t="s">
        <v>447</v>
      </c>
      <c r="C9" s="57"/>
      <c r="D9" s="604"/>
      <c r="E9" s="605"/>
      <c r="F9" s="426">
        <f>F10+F15+F20+F30+F35+F37</f>
        <v>1635.3539999999998</v>
      </c>
      <c r="G9" s="606">
        <f>G10+G15+G20+G30+G35+G37</f>
        <v>573.024</v>
      </c>
      <c r="H9" s="436">
        <f>H10+H15+H20+H30+H35+H37</f>
        <v>572.8</v>
      </c>
      <c r="I9" s="606">
        <f>I10+I15+I20+I30+I35+I37</f>
        <v>77.325</v>
      </c>
      <c r="J9" s="453">
        <f>SUM(F9:I9)</f>
        <v>2858.5029999999997</v>
      </c>
      <c r="K9" s="478">
        <f>K10+K15+K20+K30+K35+K37</f>
        <v>2905.9</v>
      </c>
      <c r="L9" s="461" t="e">
        <f>L10+L15+L20+L30</f>
        <v>#REF!</v>
      </c>
      <c r="M9" s="273" t="e">
        <f>M10+M15+M20+M30</f>
        <v>#REF!</v>
      </c>
      <c r="N9" s="426">
        <f>N10+N15+N20+N30+N35+N37</f>
        <v>108.777</v>
      </c>
      <c r="O9" s="426"/>
      <c r="P9" s="426"/>
      <c r="Q9" s="426">
        <f>Q10+Q15+Q20+Q30+Q35+Q37</f>
        <v>1259.2</v>
      </c>
      <c r="R9" s="442">
        <f>SUM(N9:Q9)</f>
        <v>1367.977</v>
      </c>
      <c r="S9" s="571">
        <f>S10+S15+S20+S30+S35+S37</f>
        <v>1341.7</v>
      </c>
      <c r="T9" s="274" t="e">
        <f>T10+T15+T20+T30</f>
        <v>#REF!</v>
      </c>
      <c r="U9" s="450">
        <f>+J9+R9</f>
        <v>4226.48</v>
      </c>
      <c r="V9" s="437">
        <f>+K9+S9</f>
        <v>4247.6</v>
      </c>
      <c r="W9" s="437">
        <f>+V9/U9*100</f>
        <v>100.49970661164849</v>
      </c>
    </row>
    <row r="10" spans="1:23" ht="15" customHeight="1" thickTop="1">
      <c r="A10" s="172">
        <f aca="true" t="shared" si="0" ref="A10:A41">A9+1</f>
        <v>2</v>
      </c>
      <c r="B10" s="173">
        <v>1</v>
      </c>
      <c r="C10" s="174" t="s">
        <v>92</v>
      </c>
      <c r="D10" s="175"/>
      <c r="E10" s="175"/>
      <c r="F10" s="176">
        <f>F11</f>
        <v>387.7</v>
      </c>
      <c r="G10" s="176">
        <f>G11</f>
        <v>135.6</v>
      </c>
      <c r="H10" s="176">
        <f>H11</f>
        <v>84.7</v>
      </c>
      <c r="I10" s="176">
        <f>I11</f>
        <v>15.7</v>
      </c>
      <c r="J10" s="384">
        <f>SUM(F10:I10)</f>
        <v>623.7</v>
      </c>
      <c r="K10" s="479">
        <f>+K11</f>
        <v>637.4</v>
      </c>
      <c r="L10" s="427"/>
      <c r="M10" s="607"/>
      <c r="N10" s="176"/>
      <c r="O10" s="176"/>
      <c r="P10" s="176"/>
      <c r="Q10" s="176"/>
      <c r="R10" s="384">
        <f>SUM(N10:Q10)</f>
        <v>0</v>
      </c>
      <c r="S10" s="479">
        <f>+S11</f>
        <v>0</v>
      </c>
      <c r="T10" s="427"/>
      <c r="U10" s="180">
        <f aca="true" t="shared" si="1" ref="U10:U41">+J10+R10</f>
        <v>623.7</v>
      </c>
      <c r="V10" s="432">
        <f aca="true" t="shared" si="2" ref="V10:V41">+K10+S10</f>
        <v>637.4</v>
      </c>
      <c r="W10" s="432">
        <f aca="true" t="shared" si="3" ref="W10:W41">+V10/U10*100</f>
        <v>102.19656886323551</v>
      </c>
    </row>
    <row r="11" spans="1:23" ht="15" customHeight="1">
      <c r="A11" s="172">
        <f t="shared" si="0"/>
        <v>3</v>
      </c>
      <c r="B11" s="181"/>
      <c r="C11" s="182" t="s">
        <v>105</v>
      </c>
      <c r="D11" s="585" t="s">
        <v>92</v>
      </c>
      <c r="E11" s="184"/>
      <c r="F11" s="280">
        <f aca="true" t="shared" si="4" ref="F11:K11">SUM(F12:F14)</f>
        <v>387.7</v>
      </c>
      <c r="G11" s="280">
        <f t="shared" si="4"/>
        <v>135.6</v>
      </c>
      <c r="H11" s="280">
        <f t="shared" si="4"/>
        <v>84.7</v>
      </c>
      <c r="I11" s="280">
        <f t="shared" si="4"/>
        <v>15.7</v>
      </c>
      <c r="J11" s="189">
        <f t="shared" si="4"/>
        <v>623.7</v>
      </c>
      <c r="K11" s="480">
        <f t="shared" si="4"/>
        <v>637.4</v>
      </c>
      <c r="L11" s="608" t="e">
        <f>L12+#REF!+#REF!</f>
        <v>#REF!</v>
      </c>
      <c r="M11" s="480" t="e">
        <f>M12+#REF!+#REF!</f>
        <v>#REF!</v>
      </c>
      <c r="N11" s="280"/>
      <c r="O11" s="280"/>
      <c r="P11" s="280"/>
      <c r="Q11" s="280"/>
      <c r="R11" s="189">
        <f>SUM(R12:R14)</f>
        <v>0</v>
      </c>
      <c r="S11" s="480">
        <f>SUM(S12:S14)</f>
        <v>0</v>
      </c>
      <c r="T11" s="189" t="e">
        <f>T12+#REF!+#REF!</f>
        <v>#REF!</v>
      </c>
      <c r="U11" s="189">
        <f t="shared" si="1"/>
        <v>623.7</v>
      </c>
      <c r="V11" s="590">
        <f t="shared" si="2"/>
        <v>637.4</v>
      </c>
      <c r="W11" s="590">
        <f t="shared" si="3"/>
        <v>102.19656886323551</v>
      </c>
    </row>
    <row r="12" spans="1:23" ht="15" customHeight="1">
      <c r="A12" s="172">
        <f t="shared" si="0"/>
        <v>4</v>
      </c>
      <c r="B12" s="181"/>
      <c r="C12" s="190"/>
      <c r="D12" s="191" t="s">
        <v>21</v>
      </c>
      <c r="E12" s="609" t="s">
        <v>133</v>
      </c>
      <c r="F12" s="610">
        <v>165.6</v>
      </c>
      <c r="G12" s="610">
        <v>57.8</v>
      </c>
      <c r="H12" s="610">
        <v>37.5</v>
      </c>
      <c r="I12" s="610">
        <v>6.8</v>
      </c>
      <c r="J12" s="235">
        <f>SUM(F12:I12)</f>
        <v>267.7</v>
      </c>
      <c r="K12" s="838">
        <v>260.5</v>
      </c>
      <c r="L12" s="839"/>
      <c r="M12" s="840"/>
      <c r="N12" s="841"/>
      <c r="O12" s="841"/>
      <c r="P12" s="841"/>
      <c r="Q12" s="841"/>
      <c r="R12" s="842">
        <f>SUM(N12:Q12)</f>
        <v>0</v>
      </c>
      <c r="S12" s="838">
        <v>0</v>
      </c>
      <c r="T12" s="611"/>
      <c r="U12" s="612">
        <f t="shared" si="1"/>
        <v>267.7</v>
      </c>
      <c r="V12" s="613">
        <f t="shared" si="2"/>
        <v>260.5</v>
      </c>
      <c r="W12" s="613">
        <f t="shared" si="3"/>
        <v>97.31042211430706</v>
      </c>
    </row>
    <row r="13" spans="1:23" ht="15" customHeight="1">
      <c r="A13" s="172">
        <f t="shared" si="0"/>
        <v>5</v>
      </c>
      <c r="B13" s="181"/>
      <c r="C13" s="190"/>
      <c r="D13" s="191" t="s">
        <v>22</v>
      </c>
      <c r="E13" s="609" t="s">
        <v>134</v>
      </c>
      <c r="F13" s="610">
        <v>111.9</v>
      </c>
      <c r="G13" s="610">
        <v>39.2</v>
      </c>
      <c r="H13" s="610">
        <v>25.6</v>
      </c>
      <c r="I13" s="610">
        <v>4.2</v>
      </c>
      <c r="J13" s="235">
        <f>SUM(F13:I13)</f>
        <v>180.9</v>
      </c>
      <c r="K13" s="838">
        <f>113.2+40.1+44+0.2</f>
        <v>197.5</v>
      </c>
      <c r="L13" s="839"/>
      <c r="M13" s="840"/>
      <c r="N13" s="841"/>
      <c r="O13" s="841"/>
      <c r="P13" s="841"/>
      <c r="Q13" s="841"/>
      <c r="R13" s="842">
        <f>SUM(N13:Q13)</f>
        <v>0</v>
      </c>
      <c r="S13" s="838">
        <f>SUM(N13:Q13)</f>
        <v>0</v>
      </c>
      <c r="T13" s="611"/>
      <c r="U13" s="612">
        <f t="shared" si="1"/>
        <v>180.9</v>
      </c>
      <c r="V13" s="613">
        <f t="shared" si="2"/>
        <v>197.5</v>
      </c>
      <c r="W13" s="613">
        <f t="shared" si="3"/>
        <v>109.1763405196241</v>
      </c>
    </row>
    <row r="14" spans="1:23" ht="15" customHeight="1">
      <c r="A14" s="172">
        <f t="shared" si="0"/>
        <v>6</v>
      </c>
      <c r="B14" s="181"/>
      <c r="C14" s="190"/>
      <c r="D14" s="191" t="s">
        <v>23</v>
      </c>
      <c r="E14" s="609" t="s">
        <v>135</v>
      </c>
      <c r="F14" s="610">
        <v>110.2</v>
      </c>
      <c r="G14" s="610">
        <v>38.6</v>
      </c>
      <c r="H14" s="610">
        <v>21.6</v>
      </c>
      <c r="I14" s="610">
        <v>4.7</v>
      </c>
      <c r="J14" s="235">
        <f>SUM(F14:I14)</f>
        <v>175.1</v>
      </c>
      <c r="K14" s="838">
        <v>179.4</v>
      </c>
      <c r="L14" s="843"/>
      <c r="M14" s="844"/>
      <c r="N14" s="845"/>
      <c r="O14" s="845"/>
      <c r="P14" s="845"/>
      <c r="Q14" s="845"/>
      <c r="R14" s="842">
        <f>SUM(N14:Q14)</f>
        <v>0</v>
      </c>
      <c r="S14" s="838">
        <v>0</v>
      </c>
      <c r="T14" s="310"/>
      <c r="U14" s="612">
        <f t="shared" si="1"/>
        <v>175.1</v>
      </c>
      <c r="V14" s="613">
        <f t="shared" si="2"/>
        <v>179.4</v>
      </c>
      <c r="W14" s="613">
        <f t="shared" si="3"/>
        <v>102.45573957738436</v>
      </c>
    </row>
    <row r="15" spans="1:23" ht="15" customHeight="1">
      <c r="A15" s="172">
        <f t="shared" si="0"/>
        <v>7</v>
      </c>
      <c r="B15" s="173">
        <v>2</v>
      </c>
      <c r="C15" s="174" t="s">
        <v>93</v>
      </c>
      <c r="D15" s="175"/>
      <c r="E15" s="175"/>
      <c r="F15" s="176">
        <f>F16</f>
        <v>852.1539999999999</v>
      </c>
      <c r="G15" s="176">
        <f>G16</f>
        <v>297.82399999999996</v>
      </c>
      <c r="H15" s="176">
        <f>H16</f>
        <v>314.79999999999995</v>
      </c>
      <c r="I15" s="176">
        <f>I16</f>
        <v>61.625</v>
      </c>
      <c r="J15" s="384">
        <f>SUM(F15:I15)</f>
        <v>1526.4029999999998</v>
      </c>
      <c r="K15" s="479">
        <f>+K16</f>
        <v>1569.6</v>
      </c>
      <c r="L15" s="278" t="e">
        <f>L16+#REF!+#REF!+#REF!</f>
        <v>#REF!</v>
      </c>
      <c r="M15" s="614" t="e">
        <f>M16+#REF!+#REF!+#REF!</f>
        <v>#REF!</v>
      </c>
      <c r="N15" s="176">
        <f>N16</f>
        <v>108.777</v>
      </c>
      <c r="O15" s="176"/>
      <c r="P15" s="176"/>
      <c r="Q15" s="176">
        <f>Q16</f>
        <v>1259.2</v>
      </c>
      <c r="R15" s="384">
        <f>SUM(N15:Q15)</f>
        <v>1367.977</v>
      </c>
      <c r="S15" s="177">
        <f>+S16</f>
        <v>1341.7</v>
      </c>
      <c r="T15" s="589" t="e">
        <f>T16+#REF!+#REF!+#REF!</f>
        <v>#REF!</v>
      </c>
      <c r="U15" s="180">
        <f t="shared" si="1"/>
        <v>2894.38</v>
      </c>
      <c r="V15" s="432">
        <f t="shared" si="2"/>
        <v>2911.3</v>
      </c>
      <c r="W15" s="432">
        <f t="shared" si="3"/>
        <v>100.58458115382223</v>
      </c>
    </row>
    <row r="16" spans="1:23" ht="15" customHeight="1">
      <c r="A16" s="172">
        <f t="shared" si="0"/>
        <v>8</v>
      </c>
      <c r="B16" s="181"/>
      <c r="C16" s="182" t="s">
        <v>461</v>
      </c>
      <c r="D16" s="585" t="s">
        <v>112</v>
      </c>
      <c r="E16" s="184"/>
      <c r="F16" s="280">
        <f aca="true" t="shared" si="5" ref="F16:K16">SUM(F17:F19)</f>
        <v>852.1539999999999</v>
      </c>
      <c r="G16" s="280">
        <f t="shared" si="5"/>
        <v>297.82399999999996</v>
      </c>
      <c r="H16" s="280">
        <f t="shared" si="5"/>
        <v>314.79999999999995</v>
      </c>
      <c r="I16" s="280">
        <f t="shared" si="5"/>
        <v>61.625</v>
      </c>
      <c r="J16" s="189">
        <f t="shared" si="5"/>
        <v>1526.403</v>
      </c>
      <c r="K16" s="480">
        <f t="shared" si="5"/>
        <v>1569.6</v>
      </c>
      <c r="L16" s="615"/>
      <c r="M16" s="480"/>
      <c r="N16" s="280">
        <f>SUM(N17:N19)</f>
        <v>108.777</v>
      </c>
      <c r="O16" s="280"/>
      <c r="P16" s="280"/>
      <c r="Q16" s="280">
        <f>SUM(Q17:Q19)</f>
        <v>1259.2</v>
      </c>
      <c r="R16" s="189">
        <f>SUM(R17:R19)</f>
        <v>1367.977</v>
      </c>
      <c r="S16" s="480">
        <f>SUM(S17:S19)</f>
        <v>1341.7</v>
      </c>
      <c r="T16" s="615"/>
      <c r="U16" s="189">
        <f t="shared" si="1"/>
        <v>2894.38</v>
      </c>
      <c r="V16" s="590">
        <f t="shared" si="2"/>
        <v>2911.3</v>
      </c>
      <c r="W16" s="590">
        <f t="shared" si="3"/>
        <v>100.58458115382223</v>
      </c>
    </row>
    <row r="17" spans="1:23" ht="15" customHeight="1">
      <c r="A17" s="172">
        <f t="shared" si="0"/>
        <v>9</v>
      </c>
      <c r="B17" s="181"/>
      <c r="C17" s="190"/>
      <c r="D17" s="294">
        <v>1</v>
      </c>
      <c r="E17" s="609" t="s">
        <v>150</v>
      </c>
      <c r="F17" s="616">
        <v>377.967</v>
      </c>
      <c r="G17" s="616">
        <v>132.099</v>
      </c>
      <c r="H17" s="616">
        <v>130.2</v>
      </c>
      <c r="I17" s="616">
        <v>26.667</v>
      </c>
      <c r="J17" s="235">
        <f>SUM(F17:I17)</f>
        <v>666.933</v>
      </c>
      <c r="K17" s="838">
        <f>403.4+146.8+120.4+22.3</f>
        <v>692.9</v>
      </c>
      <c r="L17" s="839"/>
      <c r="M17" s="846"/>
      <c r="N17" s="845">
        <v>106.1</v>
      </c>
      <c r="O17" s="841"/>
      <c r="P17" s="841"/>
      <c r="Q17" s="847">
        <v>862.1</v>
      </c>
      <c r="R17" s="842">
        <f>SUM(N17:Q17)</f>
        <v>968.2</v>
      </c>
      <c r="S17" s="838">
        <v>1033.3</v>
      </c>
      <c r="T17" s="611"/>
      <c r="U17" s="612">
        <f t="shared" si="1"/>
        <v>1635.133</v>
      </c>
      <c r="V17" s="613">
        <f t="shared" si="2"/>
        <v>1726.1999999999998</v>
      </c>
      <c r="W17" s="613">
        <f t="shared" si="3"/>
        <v>105.5693940492914</v>
      </c>
    </row>
    <row r="18" spans="1:23" ht="15" customHeight="1">
      <c r="A18" s="172">
        <f t="shared" si="0"/>
        <v>10</v>
      </c>
      <c r="B18" s="181"/>
      <c r="C18" s="190"/>
      <c r="D18" s="294">
        <v>2</v>
      </c>
      <c r="E18" s="609" t="s">
        <v>151</v>
      </c>
      <c r="F18" s="616">
        <v>323.989</v>
      </c>
      <c r="G18" s="616">
        <v>113.231</v>
      </c>
      <c r="H18" s="616">
        <v>134.1</v>
      </c>
      <c r="I18" s="616">
        <v>23.153</v>
      </c>
      <c r="J18" s="235">
        <f>SUM(F18:I18)</f>
        <v>594.473</v>
      </c>
      <c r="K18" s="838">
        <f>342.4+123.7+121.2+18.4</f>
        <v>605.6999999999999</v>
      </c>
      <c r="L18" s="843"/>
      <c r="M18" s="350"/>
      <c r="N18" s="845"/>
      <c r="O18" s="845"/>
      <c r="P18" s="845"/>
      <c r="Q18" s="847">
        <v>397.1</v>
      </c>
      <c r="R18" s="842">
        <f>SUM(N18:Q18)</f>
        <v>397.1</v>
      </c>
      <c r="S18" s="838">
        <v>305.7</v>
      </c>
      <c r="T18" s="617"/>
      <c r="U18" s="612">
        <f t="shared" si="1"/>
        <v>991.573</v>
      </c>
      <c r="V18" s="613">
        <f t="shared" si="2"/>
        <v>911.3999999999999</v>
      </c>
      <c r="W18" s="613">
        <f t="shared" si="3"/>
        <v>91.91456403108998</v>
      </c>
    </row>
    <row r="19" spans="1:23" ht="15" customHeight="1">
      <c r="A19" s="172">
        <f t="shared" si="0"/>
        <v>11</v>
      </c>
      <c r="B19" s="181"/>
      <c r="C19" s="190"/>
      <c r="D19" s="294">
        <v>3</v>
      </c>
      <c r="E19" s="609" t="s">
        <v>152</v>
      </c>
      <c r="F19" s="616">
        <v>150.198</v>
      </c>
      <c r="G19" s="619">
        <v>52.494</v>
      </c>
      <c r="H19" s="616">
        <v>50.5</v>
      </c>
      <c r="I19" s="619">
        <v>11.805</v>
      </c>
      <c r="J19" s="235">
        <f>SUM(F19:I19)</f>
        <v>264.997</v>
      </c>
      <c r="K19" s="838">
        <f>160.5+59.4+44.5+6.6</f>
        <v>271</v>
      </c>
      <c r="L19" s="843"/>
      <c r="M19" s="350"/>
      <c r="N19" s="845">
        <v>2.677</v>
      </c>
      <c r="O19" s="845"/>
      <c r="P19" s="845"/>
      <c r="Q19" s="845"/>
      <c r="R19" s="842">
        <f>SUM(N19:Q19)</f>
        <v>2.677</v>
      </c>
      <c r="S19" s="838">
        <v>2.7</v>
      </c>
      <c r="T19" s="617"/>
      <c r="U19" s="612">
        <f t="shared" si="1"/>
        <v>267.67400000000004</v>
      </c>
      <c r="V19" s="613">
        <f t="shared" si="2"/>
        <v>273.7</v>
      </c>
      <c r="W19" s="613">
        <f t="shared" si="3"/>
        <v>102.2512459185427</v>
      </c>
    </row>
    <row r="20" spans="1:23" ht="15" customHeight="1">
      <c r="A20" s="172">
        <f t="shared" si="0"/>
        <v>12</v>
      </c>
      <c r="B20" s="173">
        <v>3</v>
      </c>
      <c r="C20" s="174" t="s">
        <v>94</v>
      </c>
      <c r="D20" s="175"/>
      <c r="E20" s="175"/>
      <c r="F20" s="176">
        <f>F21+F25+F29</f>
        <v>293.7</v>
      </c>
      <c r="G20" s="176">
        <f>G21+G25+G29</f>
        <v>103.69999999999999</v>
      </c>
      <c r="H20" s="176">
        <f>H21+H25+H29</f>
        <v>130.9</v>
      </c>
      <c r="I20" s="176">
        <f>I21+I25+I29</f>
        <v>0</v>
      </c>
      <c r="J20" s="384">
        <f>SUM(F20:I20)</f>
        <v>528.3</v>
      </c>
      <c r="K20" s="479">
        <f>+K21+K25+K29</f>
        <v>500.5</v>
      </c>
      <c r="L20" s="278" t="e">
        <f>L21+L29+#REF!</f>
        <v>#REF!</v>
      </c>
      <c r="M20" s="479" t="e">
        <f>M21+M29+#REF!</f>
        <v>#REF!</v>
      </c>
      <c r="N20" s="176"/>
      <c r="O20" s="176"/>
      <c r="P20" s="176"/>
      <c r="Q20" s="176"/>
      <c r="R20" s="384">
        <f>SUM(N20:Q20)</f>
        <v>0</v>
      </c>
      <c r="S20" s="177">
        <f>+S21</f>
        <v>0</v>
      </c>
      <c r="T20" s="384" t="e">
        <f>T21+T29+#REF!</f>
        <v>#REF!</v>
      </c>
      <c r="U20" s="180">
        <f t="shared" si="1"/>
        <v>528.3</v>
      </c>
      <c r="V20" s="432">
        <f t="shared" si="2"/>
        <v>500.5</v>
      </c>
      <c r="W20" s="432">
        <f t="shared" si="3"/>
        <v>94.73783834942269</v>
      </c>
    </row>
    <row r="21" spans="1:23" ht="15" customHeight="1">
      <c r="A21" s="172">
        <f t="shared" si="0"/>
        <v>13</v>
      </c>
      <c r="B21" s="181"/>
      <c r="C21" s="182" t="s">
        <v>462</v>
      </c>
      <c r="D21" s="585" t="s">
        <v>137</v>
      </c>
      <c r="E21" s="183"/>
      <c r="F21" s="185">
        <f>SUM(F22:F24)</f>
        <v>51.3</v>
      </c>
      <c r="G21" s="185">
        <f>SUM(G22:G24)</f>
        <v>18.599999999999998</v>
      </c>
      <c r="H21" s="185">
        <f>SUM(H22:H24)</f>
        <v>0.6000000000000001</v>
      </c>
      <c r="I21" s="185"/>
      <c r="J21" s="189">
        <f>SUM(J22:J24)</f>
        <v>70.5</v>
      </c>
      <c r="K21" s="480">
        <f>SUM(K22:K24)</f>
        <v>77.7</v>
      </c>
      <c r="L21" s="617"/>
      <c r="M21" s="620"/>
      <c r="N21" s="185"/>
      <c r="O21" s="185"/>
      <c r="P21" s="185"/>
      <c r="Q21" s="185"/>
      <c r="R21" s="189">
        <f>SUM(R22:R24)</f>
        <v>0</v>
      </c>
      <c r="S21" s="480">
        <f>SUM(S22:S24)</f>
        <v>0</v>
      </c>
      <c r="T21" s="617"/>
      <c r="U21" s="234">
        <f t="shared" si="1"/>
        <v>70.5</v>
      </c>
      <c r="V21" s="429">
        <f t="shared" si="2"/>
        <v>77.7</v>
      </c>
      <c r="W21" s="429">
        <f t="shared" si="3"/>
        <v>110.21276595744682</v>
      </c>
    </row>
    <row r="22" spans="1:23" ht="15" customHeight="1">
      <c r="A22" s="172">
        <f t="shared" si="0"/>
        <v>14</v>
      </c>
      <c r="B22" s="181"/>
      <c r="C22" s="190"/>
      <c r="D22" s="191" t="s">
        <v>21</v>
      </c>
      <c r="E22" s="609" t="s">
        <v>138</v>
      </c>
      <c r="F22" s="621">
        <v>22.5</v>
      </c>
      <c r="G22" s="621">
        <v>8.6</v>
      </c>
      <c r="H22" s="621">
        <v>0.2</v>
      </c>
      <c r="I22" s="193"/>
      <c r="J22" s="235">
        <f>SUM(F22:I22)</f>
        <v>31.3</v>
      </c>
      <c r="K22" s="838">
        <v>37.5</v>
      </c>
      <c r="L22" s="843"/>
      <c r="M22" s="849"/>
      <c r="N22" s="845"/>
      <c r="O22" s="845"/>
      <c r="P22" s="845"/>
      <c r="Q22" s="845"/>
      <c r="R22" s="842">
        <f>SUM(N22:Q22)</f>
        <v>0</v>
      </c>
      <c r="S22" s="848">
        <v>0</v>
      </c>
      <c r="T22" s="310"/>
      <c r="U22" s="612">
        <f t="shared" si="1"/>
        <v>31.3</v>
      </c>
      <c r="V22" s="613">
        <f t="shared" si="2"/>
        <v>37.5</v>
      </c>
      <c r="W22" s="613">
        <f t="shared" si="3"/>
        <v>119.80830670926517</v>
      </c>
    </row>
    <row r="23" spans="1:23" ht="15" customHeight="1">
      <c r="A23" s="172">
        <f t="shared" si="0"/>
        <v>15</v>
      </c>
      <c r="B23" s="181"/>
      <c r="C23" s="190"/>
      <c r="D23" s="191" t="s">
        <v>22</v>
      </c>
      <c r="E23" s="609" t="s">
        <v>139</v>
      </c>
      <c r="F23" s="621">
        <v>17.5</v>
      </c>
      <c r="G23" s="621">
        <v>6.1</v>
      </c>
      <c r="H23" s="621">
        <v>0.2</v>
      </c>
      <c r="I23" s="193"/>
      <c r="J23" s="235">
        <f>SUM(F23:I23)</f>
        <v>23.8</v>
      </c>
      <c r="K23" s="838">
        <v>24.8</v>
      </c>
      <c r="L23" s="843"/>
      <c r="M23" s="350"/>
      <c r="N23" s="845"/>
      <c r="O23" s="845"/>
      <c r="P23" s="845"/>
      <c r="Q23" s="845"/>
      <c r="R23" s="842">
        <f>SUM(N23:Q23)</f>
        <v>0</v>
      </c>
      <c r="S23" s="848">
        <v>0</v>
      </c>
      <c r="T23" s="310"/>
      <c r="U23" s="612">
        <f t="shared" si="1"/>
        <v>23.8</v>
      </c>
      <c r="V23" s="613">
        <f t="shared" si="2"/>
        <v>24.8</v>
      </c>
      <c r="W23" s="613">
        <f t="shared" si="3"/>
        <v>104.20168067226892</v>
      </c>
    </row>
    <row r="24" spans="1:23" ht="15" customHeight="1">
      <c r="A24" s="172">
        <f t="shared" si="0"/>
        <v>16</v>
      </c>
      <c r="B24" s="181"/>
      <c r="C24" s="190"/>
      <c r="D24" s="191" t="s">
        <v>23</v>
      </c>
      <c r="E24" s="609" t="s">
        <v>140</v>
      </c>
      <c r="F24" s="621">
        <v>11.3</v>
      </c>
      <c r="G24" s="621">
        <v>3.9</v>
      </c>
      <c r="H24" s="621">
        <v>0.2</v>
      </c>
      <c r="I24" s="193"/>
      <c r="J24" s="235">
        <f>SUM(F24:I24)</f>
        <v>15.4</v>
      </c>
      <c r="K24" s="838">
        <v>15.4</v>
      </c>
      <c r="L24" s="843"/>
      <c r="M24" s="350"/>
      <c r="N24" s="845"/>
      <c r="O24" s="845"/>
      <c r="P24" s="845"/>
      <c r="Q24" s="845"/>
      <c r="R24" s="842">
        <f>SUM(N24:Q24)</f>
        <v>0</v>
      </c>
      <c r="S24" s="848">
        <v>0</v>
      </c>
      <c r="T24" s="310"/>
      <c r="U24" s="612">
        <f t="shared" si="1"/>
        <v>15.4</v>
      </c>
      <c r="V24" s="613">
        <f t="shared" si="2"/>
        <v>15.4</v>
      </c>
      <c r="W24" s="613">
        <f t="shared" si="3"/>
        <v>100</v>
      </c>
    </row>
    <row r="25" spans="1:23" ht="15" customHeight="1">
      <c r="A25" s="172">
        <f t="shared" si="0"/>
        <v>17</v>
      </c>
      <c r="B25" s="181"/>
      <c r="C25" s="182" t="s">
        <v>462</v>
      </c>
      <c r="D25" s="585" t="s">
        <v>141</v>
      </c>
      <c r="E25" s="183"/>
      <c r="F25" s="185">
        <f>SUM(F26:F28)</f>
        <v>23.3</v>
      </c>
      <c r="G25" s="185">
        <f>SUM(G26:G28)</f>
        <v>8.1</v>
      </c>
      <c r="H25" s="185">
        <f>SUM(H26:H28)</f>
        <v>109.30000000000001</v>
      </c>
      <c r="I25" s="185"/>
      <c r="J25" s="189">
        <f>SUM(J26:J28)</f>
        <v>140.7</v>
      </c>
      <c r="K25" s="480">
        <f>SUM(K26:K28)</f>
        <v>94.50000000000001</v>
      </c>
      <c r="L25" s="617"/>
      <c r="M25" s="620"/>
      <c r="N25" s="185"/>
      <c r="O25" s="185"/>
      <c r="P25" s="185"/>
      <c r="Q25" s="185"/>
      <c r="R25" s="189">
        <f>SUM(R26:R28)</f>
        <v>0</v>
      </c>
      <c r="S25" s="480">
        <f>SUM(S26:S28)</f>
        <v>0</v>
      </c>
      <c r="T25" s="617"/>
      <c r="U25" s="234">
        <f t="shared" si="1"/>
        <v>140.7</v>
      </c>
      <c r="V25" s="429">
        <f t="shared" si="2"/>
        <v>94.50000000000001</v>
      </c>
      <c r="W25" s="429">
        <f t="shared" si="3"/>
        <v>67.16417910447763</v>
      </c>
    </row>
    <row r="26" spans="1:23" ht="15" customHeight="1">
      <c r="A26" s="172">
        <f t="shared" si="0"/>
        <v>18</v>
      </c>
      <c r="B26" s="181"/>
      <c r="C26" s="190"/>
      <c r="D26" s="294">
        <v>1</v>
      </c>
      <c r="E26" s="609" t="s">
        <v>142</v>
      </c>
      <c r="F26" s="622">
        <v>7.4</v>
      </c>
      <c r="G26" s="622">
        <v>2.6</v>
      </c>
      <c r="H26" s="622">
        <v>49</v>
      </c>
      <c r="I26" s="623"/>
      <c r="J26" s="235">
        <f>SUM(F26:I26)</f>
        <v>59</v>
      </c>
      <c r="K26" s="838">
        <v>38.7</v>
      </c>
      <c r="L26" s="843"/>
      <c r="M26" s="350"/>
      <c r="N26" s="845"/>
      <c r="O26" s="845"/>
      <c r="P26" s="845"/>
      <c r="Q26" s="845"/>
      <c r="R26" s="842">
        <f>SUM(N26:Q26)</f>
        <v>0</v>
      </c>
      <c r="S26" s="848">
        <v>0</v>
      </c>
      <c r="T26" s="310"/>
      <c r="U26" s="612">
        <f t="shared" si="1"/>
        <v>59</v>
      </c>
      <c r="V26" s="613">
        <f t="shared" si="2"/>
        <v>38.7</v>
      </c>
      <c r="W26" s="613">
        <f t="shared" si="3"/>
        <v>65.59322033898306</v>
      </c>
    </row>
    <row r="27" spans="1:23" ht="15" customHeight="1">
      <c r="A27" s="172">
        <f t="shared" si="0"/>
        <v>19</v>
      </c>
      <c r="B27" s="181"/>
      <c r="C27" s="190"/>
      <c r="D27" s="294">
        <v>2</v>
      </c>
      <c r="E27" s="609" t="s">
        <v>143</v>
      </c>
      <c r="F27" s="622">
        <v>5.6</v>
      </c>
      <c r="G27" s="622">
        <v>1.9</v>
      </c>
      <c r="H27" s="622">
        <v>35.2</v>
      </c>
      <c r="I27" s="623"/>
      <c r="J27" s="235">
        <f>SUM(F27:I27)</f>
        <v>42.7</v>
      </c>
      <c r="K27" s="838">
        <v>36.1</v>
      </c>
      <c r="L27" s="843"/>
      <c r="M27" s="350"/>
      <c r="N27" s="845"/>
      <c r="O27" s="845"/>
      <c r="P27" s="845"/>
      <c r="Q27" s="845"/>
      <c r="R27" s="842">
        <f>SUM(N27:Q27)</f>
        <v>0</v>
      </c>
      <c r="S27" s="848">
        <v>0</v>
      </c>
      <c r="T27" s="310"/>
      <c r="U27" s="612">
        <f t="shared" si="1"/>
        <v>42.7</v>
      </c>
      <c r="V27" s="613">
        <f t="shared" si="2"/>
        <v>36.1</v>
      </c>
      <c r="W27" s="613">
        <f t="shared" si="3"/>
        <v>84.54332552693208</v>
      </c>
    </row>
    <row r="28" spans="1:23" ht="15" customHeight="1">
      <c r="A28" s="172">
        <f t="shared" si="0"/>
        <v>20</v>
      </c>
      <c r="B28" s="181"/>
      <c r="C28" s="190"/>
      <c r="D28" s="294">
        <v>3</v>
      </c>
      <c r="E28" s="609" t="s">
        <v>144</v>
      </c>
      <c r="F28" s="622">
        <v>10.3</v>
      </c>
      <c r="G28" s="622">
        <v>3.6</v>
      </c>
      <c r="H28" s="622">
        <v>25.1</v>
      </c>
      <c r="I28" s="623"/>
      <c r="J28" s="235">
        <f>SUM(F28:I28)</f>
        <v>39</v>
      </c>
      <c r="K28" s="838">
        <v>19.7</v>
      </c>
      <c r="L28" s="843"/>
      <c r="M28" s="350"/>
      <c r="N28" s="845"/>
      <c r="O28" s="845"/>
      <c r="P28" s="845"/>
      <c r="Q28" s="845"/>
      <c r="R28" s="842">
        <f>SUM(N28:Q28)</f>
        <v>0</v>
      </c>
      <c r="S28" s="848">
        <v>0</v>
      </c>
      <c r="T28" s="310"/>
      <c r="U28" s="612">
        <f t="shared" si="1"/>
        <v>39</v>
      </c>
      <c r="V28" s="613">
        <f t="shared" si="2"/>
        <v>19.7</v>
      </c>
      <c r="W28" s="613">
        <f t="shared" si="3"/>
        <v>50.51282051282051</v>
      </c>
    </row>
    <row r="29" spans="1:23" ht="15" customHeight="1">
      <c r="A29" s="172">
        <f t="shared" si="0"/>
        <v>21</v>
      </c>
      <c r="B29" s="181"/>
      <c r="C29" s="182" t="s">
        <v>462</v>
      </c>
      <c r="D29" s="585" t="s">
        <v>136</v>
      </c>
      <c r="E29" s="184"/>
      <c r="F29" s="624">
        <v>219.1</v>
      </c>
      <c r="G29" s="624">
        <v>77</v>
      </c>
      <c r="H29" s="624">
        <v>21</v>
      </c>
      <c r="I29" s="625"/>
      <c r="J29" s="189">
        <f>SUM(F29:I29)</f>
        <v>317.1</v>
      </c>
      <c r="K29" s="281">
        <v>328.3</v>
      </c>
      <c r="L29" s="615"/>
      <c r="M29" s="480"/>
      <c r="N29" s="280"/>
      <c r="O29" s="280"/>
      <c r="P29" s="280"/>
      <c r="Q29" s="280"/>
      <c r="R29" s="189">
        <f>SUM(N29:Q29)</f>
        <v>0</v>
      </c>
      <c r="S29" s="281">
        <v>0</v>
      </c>
      <c r="T29" s="615"/>
      <c r="U29" s="234">
        <f t="shared" si="1"/>
        <v>317.1</v>
      </c>
      <c r="V29" s="429">
        <f t="shared" si="2"/>
        <v>328.3</v>
      </c>
      <c r="W29" s="429">
        <f t="shared" si="3"/>
        <v>103.53200883002206</v>
      </c>
    </row>
    <row r="30" spans="1:23" ht="15" customHeight="1">
      <c r="A30" s="172">
        <f t="shared" si="0"/>
        <v>22</v>
      </c>
      <c r="B30" s="173">
        <v>4</v>
      </c>
      <c r="C30" s="174" t="s">
        <v>95</v>
      </c>
      <c r="D30" s="175"/>
      <c r="E30" s="175"/>
      <c r="F30" s="176">
        <f>F31</f>
        <v>91.29999999999998</v>
      </c>
      <c r="G30" s="176">
        <f>G31</f>
        <v>32.3</v>
      </c>
      <c r="H30" s="176">
        <f>H31</f>
        <v>1.4</v>
      </c>
      <c r="I30" s="176"/>
      <c r="J30" s="384">
        <f>SUM(F30:I30)</f>
        <v>124.99999999999999</v>
      </c>
      <c r="K30" s="479">
        <f>+K31</f>
        <v>137.3</v>
      </c>
      <c r="L30" s="427"/>
      <c r="M30" s="479"/>
      <c r="N30" s="176"/>
      <c r="O30" s="176"/>
      <c r="P30" s="176"/>
      <c r="Q30" s="176"/>
      <c r="R30" s="384">
        <f>SUM(N30:Q30)</f>
        <v>0</v>
      </c>
      <c r="S30" s="177">
        <f>+S31</f>
        <v>0</v>
      </c>
      <c r="T30" s="427"/>
      <c r="U30" s="180">
        <f t="shared" si="1"/>
        <v>124.99999999999999</v>
      </c>
      <c r="V30" s="432">
        <f t="shared" si="2"/>
        <v>137.3</v>
      </c>
      <c r="W30" s="432">
        <f t="shared" si="3"/>
        <v>109.84000000000003</v>
      </c>
    </row>
    <row r="31" spans="1:23" ht="15" customHeight="1">
      <c r="A31" s="172">
        <f t="shared" si="0"/>
        <v>23</v>
      </c>
      <c r="B31" s="181"/>
      <c r="C31" s="182" t="s">
        <v>566</v>
      </c>
      <c r="D31" s="585" t="s">
        <v>148</v>
      </c>
      <c r="E31" s="183"/>
      <c r="F31" s="280">
        <f>SUM(F32:F34)</f>
        <v>91.29999999999998</v>
      </c>
      <c r="G31" s="280">
        <f>SUM(G32:G34)</f>
        <v>32.3</v>
      </c>
      <c r="H31" s="280">
        <f>SUM(H32:H34)</f>
        <v>1.4</v>
      </c>
      <c r="I31" s="280"/>
      <c r="J31" s="189">
        <f>SUM(J32:J34)</f>
        <v>124.99999999999999</v>
      </c>
      <c r="K31" s="480">
        <f>SUM(K32:K34)</f>
        <v>137.3</v>
      </c>
      <c r="L31" s="615"/>
      <c r="M31" s="626"/>
      <c r="N31" s="280"/>
      <c r="O31" s="280"/>
      <c r="P31" s="280"/>
      <c r="Q31" s="280"/>
      <c r="R31" s="189">
        <f>SUM(R32:R34)</f>
        <v>0</v>
      </c>
      <c r="S31" s="480">
        <f>SUM(S32:S34)</f>
        <v>0</v>
      </c>
      <c r="T31" s="615"/>
      <c r="U31" s="189">
        <f t="shared" si="1"/>
        <v>124.99999999999999</v>
      </c>
      <c r="V31" s="590">
        <f t="shared" si="2"/>
        <v>137.3</v>
      </c>
      <c r="W31" s="590">
        <f t="shared" si="3"/>
        <v>109.84000000000003</v>
      </c>
    </row>
    <row r="32" spans="1:23" ht="15" customHeight="1">
      <c r="A32" s="172">
        <f t="shared" si="0"/>
        <v>24</v>
      </c>
      <c r="B32" s="200"/>
      <c r="C32" s="190"/>
      <c r="D32" s="294">
        <v>1</v>
      </c>
      <c r="E32" s="609" t="s">
        <v>145</v>
      </c>
      <c r="F32" s="621">
        <v>40.4</v>
      </c>
      <c r="G32" s="621">
        <v>14.7</v>
      </c>
      <c r="H32" s="621">
        <v>0.5</v>
      </c>
      <c r="I32" s="618"/>
      <c r="J32" s="235">
        <f aca="true" t="shared" si="6" ref="J32:J37">SUM(F32:I32)</f>
        <v>55.599999999999994</v>
      </c>
      <c r="K32" s="838">
        <v>55.6</v>
      </c>
      <c r="L32" s="843"/>
      <c r="M32" s="844"/>
      <c r="N32" s="845"/>
      <c r="O32" s="845"/>
      <c r="P32" s="845"/>
      <c r="Q32" s="845"/>
      <c r="R32" s="842">
        <f aca="true" t="shared" si="7" ref="R32:R37">SUM(N32:Q32)</f>
        <v>0</v>
      </c>
      <c r="S32" s="848">
        <v>0</v>
      </c>
      <c r="T32" s="310"/>
      <c r="U32" s="612">
        <f t="shared" si="1"/>
        <v>55.599999999999994</v>
      </c>
      <c r="V32" s="613">
        <f t="shared" si="2"/>
        <v>55.6</v>
      </c>
      <c r="W32" s="613">
        <f t="shared" si="3"/>
        <v>100.00000000000003</v>
      </c>
    </row>
    <row r="33" spans="1:23" ht="15" customHeight="1">
      <c r="A33" s="172">
        <f t="shared" si="0"/>
        <v>25</v>
      </c>
      <c r="B33" s="200"/>
      <c r="C33" s="190"/>
      <c r="D33" s="294">
        <v>2</v>
      </c>
      <c r="E33" s="609" t="s">
        <v>146</v>
      </c>
      <c r="F33" s="621">
        <v>36.3</v>
      </c>
      <c r="G33" s="621">
        <v>12.5</v>
      </c>
      <c r="H33" s="621">
        <v>0.5</v>
      </c>
      <c r="I33" s="618"/>
      <c r="J33" s="235">
        <f t="shared" si="6"/>
        <v>49.3</v>
      </c>
      <c r="K33" s="838">
        <v>50.3</v>
      </c>
      <c r="L33" s="843"/>
      <c r="M33" s="844"/>
      <c r="N33" s="845"/>
      <c r="O33" s="845"/>
      <c r="P33" s="845"/>
      <c r="Q33" s="845"/>
      <c r="R33" s="842">
        <f t="shared" si="7"/>
        <v>0</v>
      </c>
      <c r="S33" s="848">
        <v>0</v>
      </c>
      <c r="T33" s="310"/>
      <c r="U33" s="612">
        <f t="shared" si="1"/>
        <v>49.3</v>
      </c>
      <c r="V33" s="613">
        <f t="shared" si="2"/>
        <v>50.3</v>
      </c>
      <c r="W33" s="613">
        <f t="shared" si="3"/>
        <v>102.02839756592293</v>
      </c>
    </row>
    <row r="34" spans="1:23" ht="15" customHeight="1">
      <c r="A34" s="172">
        <f t="shared" si="0"/>
        <v>26</v>
      </c>
      <c r="B34" s="200"/>
      <c r="C34" s="190"/>
      <c r="D34" s="294">
        <v>3</v>
      </c>
      <c r="E34" s="609" t="s">
        <v>147</v>
      </c>
      <c r="F34" s="621">
        <v>14.6</v>
      </c>
      <c r="G34" s="621">
        <v>5.1</v>
      </c>
      <c r="H34" s="621">
        <v>0.4</v>
      </c>
      <c r="I34" s="618"/>
      <c r="J34" s="235">
        <f t="shared" si="6"/>
        <v>20.099999999999998</v>
      </c>
      <c r="K34" s="838">
        <v>31.4</v>
      </c>
      <c r="L34" s="843"/>
      <c r="M34" s="350"/>
      <c r="N34" s="845"/>
      <c r="O34" s="845"/>
      <c r="P34" s="845"/>
      <c r="Q34" s="845"/>
      <c r="R34" s="842">
        <f t="shared" si="7"/>
        <v>0</v>
      </c>
      <c r="S34" s="848">
        <v>0</v>
      </c>
      <c r="T34" s="627"/>
      <c r="U34" s="612">
        <f t="shared" si="1"/>
        <v>20.099999999999998</v>
      </c>
      <c r="V34" s="613">
        <f t="shared" si="2"/>
        <v>31.4</v>
      </c>
      <c r="W34" s="613">
        <f t="shared" si="3"/>
        <v>156.2189054726368</v>
      </c>
    </row>
    <row r="35" spans="1:23" ht="15" customHeight="1">
      <c r="A35" s="172">
        <f t="shared" si="0"/>
        <v>27</v>
      </c>
      <c r="B35" s="173">
        <v>5</v>
      </c>
      <c r="C35" s="1184" t="s">
        <v>149</v>
      </c>
      <c r="D35" s="1114"/>
      <c r="E35" s="1185"/>
      <c r="F35" s="176"/>
      <c r="G35" s="176"/>
      <c r="H35" s="176">
        <f>H36</f>
        <v>40.8</v>
      </c>
      <c r="I35" s="176"/>
      <c r="J35" s="384">
        <f t="shared" si="6"/>
        <v>40.8</v>
      </c>
      <c r="K35" s="177">
        <v>47.4</v>
      </c>
      <c r="L35" s="427"/>
      <c r="M35" s="479"/>
      <c r="N35" s="176"/>
      <c r="O35" s="176"/>
      <c r="P35" s="176"/>
      <c r="Q35" s="176"/>
      <c r="R35" s="384">
        <f t="shared" si="7"/>
        <v>0</v>
      </c>
      <c r="S35" s="177"/>
      <c r="T35" s="427"/>
      <c r="U35" s="180">
        <f t="shared" si="1"/>
        <v>40.8</v>
      </c>
      <c r="V35" s="432">
        <f t="shared" si="2"/>
        <v>47.4</v>
      </c>
      <c r="W35" s="432">
        <f t="shared" si="3"/>
        <v>116.1764705882353</v>
      </c>
    </row>
    <row r="36" spans="1:23" ht="15" customHeight="1">
      <c r="A36" s="172">
        <f t="shared" si="0"/>
        <v>28</v>
      </c>
      <c r="B36" s="181"/>
      <c r="C36" s="182" t="s">
        <v>461</v>
      </c>
      <c r="D36" s="585" t="s">
        <v>112</v>
      </c>
      <c r="E36" s="184"/>
      <c r="F36" s="280"/>
      <c r="G36" s="280"/>
      <c r="H36" s="280">
        <v>40.8</v>
      </c>
      <c r="I36" s="280"/>
      <c r="J36" s="189">
        <f t="shared" si="6"/>
        <v>40.8</v>
      </c>
      <c r="K36" s="281">
        <v>47.4</v>
      </c>
      <c r="L36" s="615"/>
      <c r="M36" s="480"/>
      <c r="N36" s="280"/>
      <c r="O36" s="280"/>
      <c r="P36" s="280"/>
      <c r="Q36" s="280"/>
      <c r="R36" s="189">
        <f t="shared" si="7"/>
        <v>0</v>
      </c>
      <c r="S36" s="281"/>
      <c r="T36" s="615"/>
      <c r="U36" s="189">
        <f t="shared" si="1"/>
        <v>40.8</v>
      </c>
      <c r="V36" s="590">
        <f t="shared" si="2"/>
        <v>47.4</v>
      </c>
      <c r="W36" s="590">
        <f t="shared" si="3"/>
        <v>116.1764705882353</v>
      </c>
    </row>
    <row r="37" spans="1:23" ht="15" customHeight="1">
      <c r="A37" s="172">
        <f t="shared" si="0"/>
        <v>29</v>
      </c>
      <c r="B37" s="173">
        <v>6</v>
      </c>
      <c r="C37" s="174" t="s">
        <v>281</v>
      </c>
      <c r="D37" s="175"/>
      <c r="E37" s="175"/>
      <c r="F37" s="176">
        <f>F38</f>
        <v>10.5</v>
      </c>
      <c r="G37" s="176">
        <f>G38</f>
        <v>3.6</v>
      </c>
      <c r="H37" s="176">
        <f>H38</f>
        <v>0.2</v>
      </c>
      <c r="I37" s="176">
        <f>I38</f>
        <v>0</v>
      </c>
      <c r="J37" s="384">
        <f t="shared" si="6"/>
        <v>14.299999999999999</v>
      </c>
      <c r="K37" s="479">
        <f>+K38</f>
        <v>13.7</v>
      </c>
      <c r="L37" s="427"/>
      <c r="M37" s="479"/>
      <c r="N37" s="176"/>
      <c r="O37" s="176"/>
      <c r="P37" s="176"/>
      <c r="Q37" s="176"/>
      <c r="R37" s="384">
        <f t="shared" si="7"/>
        <v>0</v>
      </c>
      <c r="S37" s="177">
        <f>+S38</f>
        <v>0</v>
      </c>
      <c r="T37" s="427"/>
      <c r="U37" s="180">
        <f t="shared" si="1"/>
        <v>14.299999999999999</v>
      </c>
      <c r="V37" s="432">
        <f t="shared" si="2"/>
        <v>13.7</v>
      </c>
      <c r="W37" s="432">
        <f t="shared" si="3"/>
        <v>95.8041958041958</v>
      </c>
    </row>
    <row r="38" spans="1:23" ht="15" customHeight="1">
      <c r="A38" s="172">
        <f t="shared" si="0"/>
        <v>30</v>
      </c>
      <c r="B38" s="181"/>
      <c r="C38" s="182" t="s">
        <v>463</v>
      </c>
      <c r="D38" s="585" t="s">
        <v>282</v>
      </c>
      <c r="E38" s="183"/>
      <c r="F38" s="280">
        <f aca="true" t="shared" si="8" ref="F38:K38">SUM(F39:F41)</f>
        <v>10.5</v>
      </c>
      <c r="G38" s="280">
        <f t="shared" si="8"/>
        <v>3.6</v>
      </c>
      <c r="H38" s="185">
        <f t="shared" si="8"/>
        <v>0.2</v>
      </c>
      <c r="I38" s="185">
        <f t="shared" si="8"/>
        <v>0</v>
      </c>
      <c r="J38" s="189">
        <f t="shared" si="8"/>
        <v>14.299999999999999</v>
      </c>
      <c r="K38" s="480">
        <f t="shared" si="8"/>
        <v>13.7</v>
      </c>
      <c r="L38" s="615"/>
      <c r="M38" s="626"/>
      <c r="N38" s="280"/>
      <c r="O38" s="280"/>
      <c r="P38" s="280"/>
      <c r="Q38" s="280"/>
      <c r="R38" s="189">
        <f>SUM(R39:R41)</f>
        <v>0</v>
      </c>
      <c r="S38" s="480">
        <f>SUM(S39:S41)</f>
        <v>0</v>
      </c>
      <c r="T38" s="615"/>
      <c r="U38" s="189">
        <f t="shared" si="1"/>
        <v>14.299999999999999</v>
      </c>
      <c r="V38" s="590">
        <f t="shared" si="2"/>
        <v>13.7</v>
      </c>
      <c r="W38" s="590">
        <f t="shared" si="3"/>
        <v>95.8041958041958</v>
      </c>
    </row>
    <row r="39" spans="1:23" ht="15" customHeight="1">
      <c r="A39" s="172">
        <f t="shared" si="0"/>
        <v>31</v>
      </c>
      <c r="B39" s="200"/>
      <c r="C39" s="190"/>
      <c r="D39" s="294">
        <v>1</v>
      </c>
      <c r="E39" s="879" t="s">
        <v>458</v>
      </c>
      <c r="F39" s="628">
        <v>10.5</v>
      </c>
      <c r="G39" s="628"/>
      <c r="H39" s="628"/>
      <c r="I39" s="618"/>
      <c r="J39" s="235">
        <f>SUM(F39:I39)</f>
        <v>10.5</v>
      </c>
      <c r="K39" s="838">
        <v>10.1</v>
      </c>
      <c r="L39" s="843"/>
      <c r="M39" s="844"/>
      <c r="N39" s="845"/>
      <c r="O39" s="845"/>
      <c r="P39" s="845"/>
      <c r="Q39" s="845"/>
      <c r="R39" s="842">
        <f>SUM(N39:Q39)</f>
        <v>0</v>
      </c>
      <c r="S39" s="195">
        <v>0</v>
      </c>
      <c r="T39" s="310"/>
      <c r="U39" s="612">
        <f t="shared" si="1"/>
        <v>10.5</v>
      </c>
      <c r="V39" s="613">
        <f t="shared" si="2"/>
        <v>10.1</v>
      </c>
      <c r="W39" s="613">
        <f t="shared" si="3"/>
        <v>96.19047619047618</v>
      </c>
    </row>
    <row r="40" spans="1:23" ht="15" customHeight="1">
      <c r="A40" s="172">
        <f t="shared" si="0"/>
        <v>32</v>
      </c>
      <c r="B40" s="629"/>
      <c r="C40" s="630"/>
      <c r="D40" s="631">
        <v>2</v>
      </c>
      <c r="E40" s="632" t="s">
        <v>181</v>
      </c>
      <c r="F40" s="633"/>
      <c r="G40" s="633">
        <v>3.6</v>
      </c>
      <c r="H40" s="633"/>
      <c r="I40" s="634"/>
      <c r="J40" s="235">
        <f>SUM(F40:I40)</f>
        <v>3.6</v>
      </c>
      <c r="K40" s="838">
        <v>3.5</v>
      </c>
      <c r="L40" s="843"/>
      <c r="M40" s="844"/>
      <c r="N40" s="850"/>
      <c r="O40" s="850"/>
      <c r="P40" s="850"/>
      <c r="Q40" s="850"/>
      <c r="R40" s="842">
        <f>SUM(N40:Q40)</f>
        <v>0</v>
      </c>
      <c r="S40" s="195">
        <v>0</v>
      </c>
      <c r="T40" s="310"/>
      <c r="U40" s="635">
        <f t="shared" si="1"/>
        <v>3.6</v>
      </c>
      <c r="V40" s="636">
        <f t="shared" si="2"/>
        <v>3.5</v>
      </c>
      <c r="W40" s="636">
        <f t="shared" si="3"/>
        <v>97.22222222222221</v>
      </c>
    </row>
    <row r="41" spans="1:23" s="246" customFormat="1" ht="15" customHeight="1" thickBot="1">
      <c r="A41" s="214">
        <f t="shared" si="0"/>
        <v>33</v>
      </c>
      <c r="B41" s="319"/>
      <c r="C41" s="216"/>
      <c r="D41" s="637">
        <v>3</v>
      </c>
      <c r="E41" s="638" t="s">
        <v>182</v>
      </c>
      <c r="F41" s="639"/>
      <c r="G41" s="639"/>
      <c r="H41" s="639">
        <v>0.2</v>
      </c>
      <c r="I41" s="640"/>
      <c r="J41" s="236">
        <f>SUM(F41:I41)</f>
        <v>0.2</v>
      </c>
      <c r="K41" s="851">
        <v>0.1</v>
      </c>
      <c r="L41" s="852"/>
      <c r="M41" s="853"/>
      <c r="N41" s="854"/>
      <c r="O41" s="854"/>
      <c r="P41" s="854"/>
      <c r="Q41" s="854"/>
      <c r="R41" s="852">
        <f>SUM(N41:Q41)</f>
        <v>0</v>
      </c>
      <c r="S41" s="228">
        <v>0</v>
      </c>
      <c r="T41" s="236"/>
      <c r="U41" s="641">
        <f t="shared" si="1"/>
        <v>0.2</v>
      </c>
      <c r="V41" s="642">
        <f t="shared" si="2"/>
        <v>0.1</v>
      </c>
      <c r="W41" s="642">
        <f t="shared" si="3"/>
        <v>50</v>
      </c>
    </row>
    <row r="42" spans="1:23" ht="12.75">
      <c r="A42" s="245"/>
      <c r="B42" s="150"/>
      <c r="D42" s="152"/>
      <c r="E42" s="643"/>
      <c r="F42" s="643"/>
      <c r="G42" s="644"/>
      <c r="H42" s="645"/>
      <c r="I42" s="643"/>
      <c r="J42" s="643"/>
      <c r="K42" s="643"/>
      <c r="M42" s="152"/>
      <c r="S42" s="152"/>
      <c r="T42" s="150"/>
      <c r="U42" s="250"/>
      <c r="W42" s="150"/>
    </row>
    <row r="49" spans="1:23" s="246" customFormat="1" ht="12.75">
      <c r="A49" s="148"/>
      <c r="B49" s="149"/>
      <c r="C49" s="150"/>
      <c r="D49" s="150"/>
      <c r="E49" s="150"/>
      <c r="F49" s="150"/>
      <c r="G49" s="150"/>
      <c r="H49" s="579"/>
      <c r="I49" s="150"/>
      <c r="J49" s="150"/>
      <c r="K49" s="150"/>
      <c r="L49" s="152"/>
      <c r="M49" s="150"/>
      <c r="N49" s="150"/>
      <c r="O49" s="150"/>
      <c r="P49" s="150"/>
      <c r="Q49" s="150"/>
      <c r="R49" s="150"/>
      <c r="S49" s="150"/>
      <c r="T49" s="152"/>
      <c r="U49" s="150"/>
      <c r="V49" s="152"/>
      <c r="W49" s="152"/>
    </row>
    <row r="50" spans="1:23" s="246" customFormat="1" ht="12.75">
      <c r="A50" s="148"/>
      <c r="B50" s="149"/>
      <c r="C50" s="150"/>
      <c r="D50" s="150"/>
      <c r="E50" s="150"/>
      <c r="F50" s="150"/>
      <c r="G50" s="150"/>
      <c r="H50" s="579"/>
      <c r="I50" s="150"/>
      <c r="J50" s="150"/>
      <c r="K50" s="150"/>
      <c r="L50" s="152"/>
      <c r="M50" s="150"/>
      <c r="N50" s="150"/>
      <c r="O50" s="150"/>
      <c r="P50" s="150"/>
      <c r="Q50" s="150"/>
      <c r="R50" s="150"/>
      <c r="S50" s="150"/>
      <c r="T50" s="152"/>
      <c r="U50" s="150"/>
      <c r="V50" s="152"/>
      <c r="W50" s="152"/>
    </row>
    <row r="51" spans="1:23" s="246" customFormat="1" ht="12.75">
      <c r="A51" s="148"/>
      <c r="B51" s="149"/>
      <c r="C51" s="150"/>
      <c r="D51" s="150"/>
      <c r="E51" s="150"/>
      <c r="F51" s="150"/>
      <c r="G51" s="150"/>
      <c r="H51" s="579"/>
      <c r="I51" s="150"/>
      <c r="J51" s="150"/>
      <c r="K51" s="150"/>
      <c r="L51" s="152"/>
      <c r="M51" s="150"/>
      <c r="N51" s="150"/>
      <c r="O51" s="150"/>
      <c r="P51" s="150"/>
      <c r="Q51" s="150"/>
      <c r="R51" s="150"/>
      <c r="S51" s="150"/>
      <c r="T51" s="152"/>
      <c r="U51" s="150"/>
      <c r="V51" s="152"/>
      <c r="W51" s="152"/>
    </row>
    <row r="52" spans="1:23" s="246" customFormat="1" ht="12.75">
      <c r="A52" s="148"/>
      <c r="B52" s="149"/>
      <c r="C52" s="150"/>
      <c r="D52" s="150"/>
      <c r="E52" s="150"/>
      <c r="F52" s="150"/>
      <c r="G52" s="150"/>
      <c r="H52" s="579"/>
      <c r="I52" s="150"/>
      <c r="J52" s="150"/>
      <c r="K52" s="150"/>
      <c r="L52" s="152"/>
      <c r="M52" s="150"/>
      <c r="N52" s="150"/>
      <c r="O52" s="150"/>
      <c r="P52" s="150"/>
      <c r="Q52" s="150"/>
      <c r="R52" s="150"/>
      <c r="S52" s="150"/>
      <c r="T52" s="152"/>
      <c r="U52" s="150"/>
      <c r="V52" s="152"/>
      <c r="W52" s="152"/>
    </row>
    <row r="53" spans="1:23" s="246" customFormat="1" ht="12.75">
      <c r="A53" s="148"/>
      <c r="B53" s="149"/>
      <c r="C53" s="150"/>
      <c r="D53" s="150"/>
      <c r="E53" s="150"/>
      <c r="F53" s="150"/>
      <c r="G53" s="150"/>
      <c r="H53" s="579"/>
      <c r="I53" s="150"/>
      <c r="J53" s="150"/>
      <c r="K53" s="150"/>
      <c r="L53" s="152"/>
      <c r="M53" s="150"/>
      <c r="N53" s="150"/>
      <c r="O53" s="150"/>
      <c r="P53" s="150"/>
      <c r="Q53" s="150"/>
      <c r="R53" s="150"/>
      <c r="S53" s="150"/>
      <c r="T53" s="152"/>
      <c r="U53" s="150"/>
      <c r="V53" s="152"/>
      <c r="W53" s="152"/>
    </row>
    <row r="54" spans="1:23" s="246" customFormat="1" ht="12.75">
      <c r="A54" s="148"/>
      <c r="B54" s="149"/>
      <c r="C54" s="150"/>
      <c r="D54" s="150"/>
      <c r="E54" s="150"/>
      <c r="F54" s="150"/>
      <c r="G54" s="150"/>
      <c r="H54" s="579"/>
      <c r="I54" s="150"/>
      <c r="J54" s="150"/>
      <c r="K54" s="150"/>
      <c r="L54" s="152"/>
      <c r="M54" s="150"/>
      <c r="N54" s="150"/>
      <c r="O54" s="150"/>
      <c r="P54" s="150"/>
      <c r="Q54" s="150"/>
      <c r="R54" s="150"/>
      <c r="S54" s="150"/>
      <c r="T54" s="152"/>
      <c r="U54" s="150"/>
      <c r="V54" s="152"/>
      <c r="W54" s="152"/>
    </row>
    <row r="55" spans="1:23" s="246" customFormat="1" ht="12.75">
      <c r="A55" s="148"/>
      <c r="B55" s="149"/>
      <c r="C55" s="150"/>
      <c r="D55" s="150"/>
      <c r="E55" s="150"/>
      <c r="F55" s="150"/>
      <c r="G55" s="150"/>
      <c r="H55" s="579"/>
      <c r="I55" s="150"/>
      <c r="J55" s="150"/>
      <c r="K55" s="150"/>
      <c r="L55" s="152"/>
      <c r="M55" s="150"/>
      <c r="N55" s="150"/>
      <c r="O55" s="150"/>
      <c r="P55" s="150"/>
      <c r="Q55" s="150"/>
      <c r="R55" s="150"/>
      <c r="S55" s="150"/>
      <c r="T55" s="152"/>
      <c r="U55" s="150"/>
      <c r="V55" s="152"/>
      <c r="W55" s="152"/>
    </row>
    <row r="56" spans="1:23" s="246" customFormat="1" ht="12.75">
      <c r="A56" s="148"/>
      <c r="B56" s="149"/>
      <c r="C56" s="150"/>
      <c r="D56" s="150"/>
      <c r="E56" s="150"/>
      <c r="F56" s="150"/>
      <c r="G56" s="150"/>
      <c r="H56" s="579"/>
      <c r="I56" s="150"/>
      <c r="J56" s="150"/>
      <c r="K56" s="150"/>
      <c r="L56" s="152"/>
      <c r="M56" s="150"/>
      <c r="N56" s="150"/>
      <c r="O56" s="150"/>
      <c r="P56" s="150"/>
      <c r="Q56" s="150"/>
      <c r="R56" s="150"/>
      <c r="S56" s="150"/>
      <c r="T56" s="152"/>
      <c r="U56" s="150"/>
      <c r="V56" s="152"/>
      <c r="W56" s="152"/>
    </row>
    <row r="57" spans="1:23" s="246" customFormat="1" ht="12.75">
      <c r="A57" s="148"/>
      <c r="B57" s="149"/>
      <c r="C57" s="150"/>
      <c r="D57" s="150"/>
      <c r="E57" s="150"/>
      <c r="F57" s="150"/>
      <c r="G57" s="150"/>
      <c r="H57" s="579"/>
      <c r="I57" s="150"/>
      <c r="J57" s="150"/>
      <c r="K57" s="150"/>
      <c r="L57" s="152"/>
      <c r="M57" s="150"/>
      <c r="N57" s="150"/>
      <c r="O57" s="150"/>
      <c r="P57" s="150"/>
      <c r="Q57" s="150"/>
      <c r="R57" s="150"/>
      <c r="S57" s="150"/>
      <c r="T57" s="152"/>
      <c r="U57" s="150"/>
      <c r="V57" s="152"/>
      <c r="W57" s="152"/>
    </row>
    <row r="58" spans="1:23" s="246" customFormat="1" ht="12.75">
      <c r="A58" s="148"/>
      <c r="B58" s="149"/>
      <c r="C58" s="150"/>
      <c r="D58" s="150"/>
      <c r="E58" s="150"/>
      <c r="F58" s="150"/>
      <c r="G58" s="150"/>
      <c r="H58" s="579"/>
      <c r="I58" s="150"/>
      <c r="J58" s="150"/>
      <c r="K58" s="150"/>
      <c r="L58" s="152"/>
      <c r="M58" s="150"/>
      <c r="N58" s="150"/>
      <c r="O58" s="150"/>
      <c r="P58" s="150"/>
      <c r="Q58" s="150"/>
      <c r="R58" s="150"/>
      <c r="S58" s="150"/>
      <c r="T58" s="152"/>
      <c r="U58" s="150"/>
      <c r="V58" s="152"/>
      <c r="W58" s="152"/>
    </row>
    <row r="59" spans="1:23" s="246" customFormat="1" ht="13.5" customHeight="1">
      <c r="A59" s="148"/>
      <c r="B59" s="149"/>
      <c r="C59" s="150"/>
      <c r="D59" s="150"/>
      <c r="E59" s="150"/>
      <c r="F59" s="150"/>
      <c r="G59" s="150"/>
      <c r="H59" s="579"/>
      <c r="I59" s="150"/>
      <c r="J59" s="150"/>
      <c r="K59" s="150"/>
      <c r="L59" s="152"/>
      <c r="M59" s="150"/>
      <c r="N59" s="150"/>
      <c r="O59" s="150"/>
      <c r="P59" s="150"/>
      <c r="Q59" s="150"/>
      <c r="R59" s="150"/>
      <c r="S59" s="150"/>
      <c r="T59" s="152"/>
      <c r="U59" s="150"/>
      <c r="V59" s="152"/>
      <c r="W59" s="152"/>
    </row>
    <row r="60" spans="1:23" s="246" customFormat="1" ht="15" customHeight="1">
      <c r="A60" s="148"/>
      <c r="B60" s="149"/>
      <c r="C60" s="150"/>
      <c r="D60" s="150"/>
      <c r="E60" s="150"/>
      <c r="F60" s="150"/>
      <c r="G60" s="150"/>
      <c r="H60" s="579"/>
      <c r="I60" s="150"/>
      <c r="J60" s="150"/>
      <c r="K60" s="150"/>
      <c r="L60" s="152"/>
      <c r="M60" s="150"/>
      <c r="N60" s="150"/>
      <c r="O60" s="150"/>
      <c r="P60" s="150"/>
      <c r="Q60" s="150"/>
      <c r="R60" s="150"/>
      <c r="S60" s="150"/>
      <c r="T60" s="152"/>
      <c r="U60" s="150"/>
      <c r="V60" s="152"/>
      <c r="W60" s="152"/>
    </row>
    <row r="61" spans="1:23" s="246" customFormat="1" ht="3" customHeight="1">
      <c r="A61" s="148"/>
      <c r="B61" s="149"/>
      <c r="C61" s="150"/>
      <c r="D61" s="150"/>
      <c r="E61" s="150"/>
      <c r="F61" s="150"/>
      <c r="G61" s="150"/>
      <c r="H61" s="579"/>
      <c r="I61" s="150"/>
      <c r="J61" s="150"/>
      <c r="K61" s="150"/>
      <c r="L61" s="152"/>
      <c r="M61" s="150"/>
      <c r="N61" s="150"/>
      <c r="O61" s="150"/>
      <c r="P61" s="150"/>
      <c r="Q61" s="150"/>
      <c r="R61" s="150"/>
      <c r="S61" s="150"/>
      <c r="T61" s="152"/>
      <c r="U61" s="150"/>
      <c r="V61" s="152"/>
      <c r="W61" s="152"/>
    </row>
    <row r="62" spans="1:23" s="246" customFormat="1" ht="15" customHeight="1">
      <c r="A62" s="148"/>
      <c r="B62" s="149"/>
      <c r="C62" s="150"/>
      <c r="D62" s="150"/>
      <c r="E62" s="150"/>
      <c r="F62" s="150"/>
      <c r="G62" s="150"/>
      <c r="H62" s="579"/>
      <c r="I62" s="150"/>
      <c r="J62" s="150"/>
      <c r="K62" s="150"/>
      <c r="L62" s="152"/>
      <c r="M62" s="150"/>
      <c r="N62" s="150"/>
      <c r="O62" s="150"/>
      <c r="P62" s="150"/>
      <c r="Q62" s="150"/>
      <c r="R62" s="150"/>
      <c r="S62" s="150"/>
      <c r="T62" s="152"/>
      <c r="U62" s="150"/>
      <c r="V62" s="152"/>
      <c r="W62" s="152"/>
    </row>
    <row r="63" spans="1:23" s="246" customFormat="1" ht="7.5" customHeight="1">
      <c r="A63" s="148"/>
      <c r="B63" s="149"/>
      <c r="C63" s="150"/>
      <c r="D63" s="150"/>
      <c r="E63" s="150"/>
      <c r="F63" s="150"/>
      <c r="G63" s="150"/>
      <c r="H63" s="579"/>
      <c r="I63" s="150"/>
      <c r="J63" s="150"/>
      <c r="K63" s="150"/>
      <c r="L63" s="152"/>
      <c r="M63" s="150"/>
      <c r="N63" s="150"/>
      <c r="O63" s="150"/>
      <c r="P63" s="150"/>
      <c r="Q63" s="150"/>
      <c r="R63" s="150"/>
      <c r="S63" s="150"/>
      <c r="T63" s="152"/>
      <c r="U63" s="150"/>
      <c r="V63" s="152"/>
      <c r="W63" s="152"/>
    </row>
    <row r="64" spans="1:23" s="246" customFormat="1" ht="13.5" customHeight="1">
      <c r="A64" s="148"/>
      <c r="B64" s="149"/>
      <c r="C64" s="150"/>
      <c r="D64" s="150"/>
      <c r="E64" s="150"/>
      <c r="F64" s="150"/>
      <c r="G64" s="150"/>
      <c r="H64" s="579"/>
      <c r="I64" s="150"/>
      <c r="J64" s="150"/>
      <c r="K64" s="150"/>
      <c r="L64" s="152"/>
      <c r="M64" s="150"/>
      <c r="N64" s="150"/>
      <c r="O64" s="150"/>
      <c r="P64" s="150"/>
      <c r="Q64" s="150"/>
      <c r="R64" s="150"/>
      <c r="S64" s="150"/>
      <c r="T64" s="152"/>
      <c r="U64" s="150"/>
      <c r="V64" s="152"/>
      <c r="W64" s="152"/>
    </row>
    <row r="65" spans="1:23" s="246" customFormat="1" ht="15" customHeight="1">
      <c r="A65" s="148"/>
      <c r="B65" s="149"/>
      <c r="C65" s="150"/>
      <c r="D65" s="150"/>
      <c r="E65" s="150"/>
      <c r="F65" s="150"/>
      <c r="G65" s="150"/>
      <c r="H65" s="579"/>
      <c r="I65" s="150"/>
      <c r="J65" s="150"/>
      <c r="K65" s="150"/>
      <c r="L65" s="152"/>
      <c r="M65" s="150"/>
      <c r="N65" s="150"/>
      <c r="O65" s="150"/>
      <c r="P65" s="150"/>
      <c r="Q65" s="150"/>
      <c r="R65" s="150"/>
      <c r="S65" s="150"/>
      <c r="T65" s="152"/>
      <c r="U65" s="150"/>
      <c r="V65" s="152"/>
      <c r="W65" s="152"/>
    </row>
    <row r="66" spans="1:23" s="246" customFormat="1" ht="12.75">
      <c r="A66" s="148"/>
      <c r="B66" s="149"/>
      <c r="C66" s="150"/>
      <c r="D66" s="150"/>
      <c r="E66" s="150"/>
      <c r="F66" s="150"/>
      <c r="G66" s="150"/>
      <c r="H66" s="579"/>
      <c r="I66" s="150"/>
      <c r="J66" s="150"/>
      <c r="K66" s="150"/>
      <c r="L66" s="152"/>
      <c r="M66" s="150"/>
      <c r="N66" s="150"/>
      <c r="O66" s="150"/>
      <c r="P66" s="150"/>
      <c r="Q66" s="150"/>
      <c r="R66" s="150"/>
      <c r="S66" s="150"/>
      <c r="T66" s="152"/>
      <c r="U66" s="150"/>
      <c r="V66" s="152"/>
      <c r="W66" s="152"/>
    </row>
    <row r="67" spans="1:23" s="246" customFormat="1" ht="12.75">
      <c r="A67" s="148"/>
      <c r="B67" s="149"/>
      <c r="C67" s="150"/>
      <c r="D67" s="150"/>
      <c r="E67" s="150"/>
      <c r="F67" s="150"/>
      <c r="G67" s="150"/>
      <c r="H67" s="579"/>
      <c r="I67" s="150"/>
      <c r="J67" s="150"/>
      <c r="K67" s="150"/>
      <c r="L67" s="152"/>
      <c r="M67" s="150"/>
      <c r="N67" s="150"/>
      <c r="O67" s="150"/>
      <c r="P67" s="150"/>
      <c r="Q67" s="150"/>
      <c r="R67" s="150"/>
      <c r="S67" s="150"/>
      <c r="T67" s="152"/>
      <c r="U67" s="150"/>
      <c r="V67" s="152"/>
      <c r="W67" s="152"/>
    </row>
    <row r="68" spans="1:23" s="246" customFormat="1" ht="8.25" customHeight="1">
      <c r="A68" s="148"/>
      <c r="B68" s="149"/>
      <c r="C68" s="150"/>
      <c r="D68" s="150"/>
      <c r="E68" s="150"/>
      <c r="F68" s="150"/>
      <c r="G68" s="150"/>
      <c r="H68" s="579"/>
      <c r="I68" s="150"/>
      <c r="J68" s="150"/>
      <c r="K68" s="150"/>
      <c r="L68" s="152"/>
      <c r="M68" s="150"/>
      <c r="N68" s="150"/>
      <c r="O68" s="150"/>
      <c r="P68" s="150"/>
      <c r="Q68" s="150"/>
      <c r="R68" s="150"/>
      <c r="S68" s="150"/>
      <c r="T68" s="152"/>
      <c r="U68" s="150"/>
      <c r="V68" s="152"/>
      <c r="W68" s="152"/>
    </row>
    <row r="96" spans="1:23" s="246" customFormat="1" ht="12.75">
      <c r="A96" s="148"/>
      <c r="B96" s="149"/>
      <c r="C96" s="150"/>
      <c r="D96" s="150"/>
      <c r="E96" s="150"/>
      <c r="F96" s="150"/>
      <c r="G96" s="150"/>
      <c r="H96" s="579"/>
      <c r="I96" s="150"/>
      <c r="J96" s="150"/>
      <c r="K96" s="150"/>
      <c r="L96" s="152"/>
      <c r="M96" s="150"/>
      <c r="N96" s="150"/>
      <c r="O96" s="150"/>
      <c r="P96" s="150"/>
      <c r="Q96" s="150"/>
      <c r="R96" s="150"/>
      <c r="S96" s="150"/>
      <c r="T96" s="152"/>
      <c r="U96" s="150"/>
      <c r="V96" s="152"/>
      <c r="W96" s="152"/>
    </row>
    <row r="97" spans="1:23" s="246" customFormat="1" ht="12.75">
      <c r="A97" s="148"/>
      <c r="B97" s="149"/>
      <c r="C97" s="150"/>
      <c r="D97" s="150"/>
      <c r="E97" s="150"/>
      <c r="F97" s="150"/>
      <c r="G97" s="150"/>
      <c r="H97" s="579"/>
      <c r="I97" s="150"/>
      <c r="J97" s="150"/>
      <c r="K97" s="150"/>
      <c r="L97" s="152"/>
      <c r="M97" s="150"/>
      <c r="N97" s="150"/>
      <c r="O97" s="150"/>
      <c r="P97" s="150"/>
      <c r="Q97" s="150"/>
      <c r="R97" s="150"/>
      <c r="S97" s="150"/>
      <c r="T97" s="152"/>
      <c r="U97" s="150"/>
      <c r="V97" s="152"/>
      <c r="W97" s="152"/>
    </row>
    <row r="98" spans="1:23" s="246" customFormat="1" ht="12.75">
      <c r="A98" s="148"/>
      <c r="B98" s="149"/>
      <c r="C98" s="150"/>
      <c r="D98" s="150"/>
      <c r="E98" s="150"/>
      <c r="F98" s="150"/>
      <c r="G98" s="150"/>
      <c r="H98" s="579"/>
      <c r="I98" s="150"/>
      <c r="J98" s="150"/>
      <c r="K98" s="150"/>
      <c r="L98" s="152"/>
      <c r="M98" s="150"/>
      <c r="N98" s="150"/>
      <c r="O98" s="150"/>
      <c r="P98" s="150"/>
      <c r="Q98" s="150"/>
      <c r="R98" s="150"/>
      <c r="S98" s="150"/>
      <c r="T98" s="152"/>
      <c r="U98" s="150"/>
      <c r="V98" s="152"/>
      <c r="W98" s="152"/>
    </row>
    <row r="99" spans="1:23" s="246" customFormat="1" ht="12.75">
      <c r="A99" s="148"/>
      <c r="B99" s="149"/>
      <c r="C99" s="150"/>
      <c r="D99" s="150"/>
      <c r="E99" s="150"/>
      <c r="F99" s="150"/>
      <c r="G99" s="150"/>
      <c r="H99" s="579"/>
      <c r="I99" s="150"/>
      <c r="J99" s="150"/>
      <c r="K99" s="150"/>
      <c r="L99" s="152"/>
      <c r="M99" s="150"/>
      <c r="N99" s="150"/>
      <c r="O99" s="150"/>
      <c r="P99" s="150"/>
      <c r="Q99" s="150"/>
      <c r="R99" s="150"/>
      <c r="S99" s="150"/>
      <c r="T99" s="152"/>
      <c r="U99" s="150"/>
      <c r="V99" s="152"/>
      <c r="W99" s="152"/>
    </row>
    <row r="100" spans="1:23" s="246" customFormat="1" ht="12.75">
      <c r="A100" s="148"/>
      <c r="B100" s="149"/>
      <c r="C100" s="150"/>
      <c r="D100" s="150"/>
      <c r="E100" s="150"/>
      <c r="F100" s="150"/>
      <c r="G100" s="150"/>
      <c r="H100" s="579"/>
      <c r="I100" s="150"/>
      <c r="J100" s="150"/>
      <c r="K100" s="150"/>
      <c r="L100" s="152"/>
      <c r="M100" s="150"/>
      <c r="N100" s="150"/>
      <c r="O100" s="150"/>
      <c r="P100" s="150"/>
      <c r="Q100" s="150"/>
      <c r="R100" s="150"/>
      <c r="S100" s="150"/>
      <c r="T100" s="152"/>
      <c r="U100" s="150"/>
      <c r="V100" s="152"/>
      <c r="W100" s="152"/>
    </row>
    <row r="101" spans="1:23" s="246" customFormat="1" ht="12.75">
      <c r="A101" s="148"/>
      <c r="B101" s="149"/>
      <c r="C101" s="150"/>
      <c r="D101" s="150"/>
      <c r="E101" s="150"/>
      <c r="F101" s="150"/>
      <c r="G101" s="150"/>
      <c r="H101" s="579"/>
      <c r="I101" s="150"/>
      <c r="J101" s="150"/>
      <c r="K101" s="150"/>
      <c r="L101" s="152"/>
      <c r="M101" s="150"/>
      <c r="N101" s="150"/>
      <c r="O101" s="150"/>
      <c r="P101" s="150"/>
      <c r="Q101" s="150"/>
      <c r="R101" s="150"/>
      <c r="S101" s="150"/>
      <c r="T101" s="152"/>
      <c r="U101" s="150"/>
      <c r="V101" s="152"/>
      <c r="W101" s="152"/>
    </row>
    <row r="102" spans="1:23" s="246" customFormat="1" ht="12.75">
      <c r="A102" s="148"/>
      <c r="B102" s="149"/>
      <c r="C102" s="150"/>
      <c r="D102" s="150"/>
      <c r="E102" s="150"/>
      <c r="F102" s="150"/>
      <c r="G102" s="150"/>
      <c r="H102" s="579"/>
      <c r="I102" s="150"/>
      <c r="J102" s="150"/>
      <c r="K102" s="150"/>
      <c r="L102" s="152"/>
      <c r="M102" s="150"/>
      <c r="N102" s="150"/>
      <c r="O102" s="150"/>
      <c r="P102" s="150"/>
      <c r="Q102" s="150"/>
      <c r="R102" s="150"/>
      <c r="S102" s="150"/>
      <c r="T102" s="152"/>
      <c r="U102" s="150"/>
      <c r="V102" s="152"/>
      <c r="W102" s="152"/>
    </row>
    <row r="103" spans="1:23" s="246" customFormat="1" ht="12.75">
      <c r="A103" s="148"/>
      <c r="B103" s="149"/>
      <c r="C103" s="150"/>
      <c r="D103" s="150"/>
      <c r="E103" s="150"/>
      <c r="F103" s="150"/>
      <c r="G103" s="150"/>
      <c r="H103" s="579"/>
      <c r="I103" s="150"/>
      <c r="J103" s="150"/>
      <c r="K103" s="150"/>
      <c r="L103" s="152"/>
      <c r="M103" s="150"/>
      <c r="N103" s="150"/>
      <c r="O103" s="150"/>
      <c r="P103" s="150"/>
      <c r="Q103" s="150"/>
      <c r="R103" s="150"/>
      <c r="S103" s="150"/>
      <c r="T103" s="152"/>
      <c r="U103" s="150"/>
      <c r="V103" s="152"/>
      <c r="W103" s="152"/>
    </row>
    <row r="104" spans="1:23" s="246" customFormat="1" ht="12.75">
      <c r="A104" s="148"/>
      <c r="B104" s="149"/>
      <c r="C104" s="150"/>
      <c r="D104" s="150"/>
      <c r="E104" s="150"/>
      <c r="F104" s="150"/>
      <c r="G104" s="150"/>
      <c r="H104" s="579"/>
      <c r="I104" s="150"/>
      <c r="J104" s="150"/>
      <c r="K104" s="150"/>
      <c r="L104" s="152"/>
      <c r="M104" s="150"/>
      <c r="N104" s="150"/>
      <c r="O104" s="150"/>
      <c r="P104" s="150"/>
      <c r="Q104" s="150"/>
      <c r="R104" s="150"/>
      <c r="S104" s="150"/>
      <c r="T104" s="152"/>
      <c r="U104" s="150"/>
      <c r="V104" s="152"/>
      <c r="W104" s="152"/>
    </row>
    <row r="105" spans="1:23" s="246" customFormat="1" ht="12.75">
      <c r="A105" s="148"/>
      <c r="B105" s="149"/>
      <c r="C105" s="150"/>
      <c r="D105" s="150"/>
      <c r="E105" s="150"/>
      <c r="F105" s="150"/>
      <c r="G105" s="150"/>
      <c r="H105" s="579"/>
      <c r="I105" s="150"/>
      <c r="J105" s="150"/>
      <c r="K105" s="150"/>
      <c r="L105" s="152"/>
      <c r="M105" s="150"/>
      <c r="N105" s="150"/>
      <c r="O105" s="150"/>
      <c r="P105" s="150"/>
      <c r="Q105" s="150"/>
      <c r="R105" s="150"/>
      <c r="S105" s="150"/>
      <c r="T105" s="152"/>
      <c r="U105" s="150"/>
      <c r="V105" s="152"/>
      <c r="W105" s="152"/>
    </row>
    <row r="106" spans="1:23" s="246" customFormat="1" ht="12.75">
      <c r="A106" s="148"/>
      <c r="B106" s="149"/>
      <c r="C106" s="150"/>
      <c r="D106" s="150"/>
      <c r="E106" s="150"/>
      <c r="F106" s="150"/>
      <c r="G106" s="150"/>
      <c r="H106" s="579"/>
      <c r="I106" s="150"/>
      <c r="J106" s="150"/>
      <c r="K106" s="150"/>
      <c r="L106" s="152"/>
      <c r="M106" s="150"/>
      <c r="N106" s="150"/>
      <c r="O106" s="150"/>
      <c r="P106" s="150"/>
      <c r="Q106" s="150"/>
      <c r="R106" s="150"/>
      <c r="S106" s="150"/>
      <c r="T106" s="152"/>
      <c r="U106" s="150"/>
      <c r="V106" s="152"/>
      <c r="W106" s="152"/>
    </row>
    <row r="107" spans="1:23" s="246" customFormat="1" ht="12.75">
      <c r="A107" s="148"/>
      <c r="B107" s="149"/>
      <c r="C107" s="150"/>
      <c r="D107" s="150"/>
      <c r="E107" s="150"/>
      <c r="F107" s="150"/>
      <c r="G107" s="150"/>
      <c r="H107" s="579"/>
      <c r="I107" s="150"/>
      <c r="J107" s="150"/>
      <c r="K107" s="150"/>
      <c r="L107" s="152"/>
      <c r="M107" s="150"/>
      <c r="N107" s="150"/>
      <c r="O107" s="150"/>
      <c r="P107" s="150"/>
      <c r="Q107" s="150"/>
      <c r="R107" s="150"/>
      <c r="S107" s="150"/>
      <c r="T107" s="152"/>
      <c r="U107" s="150"/>
      <c r="V107" s="152"/>
      <c r="W107" s="152"/>
    </row>
    <row r="108" spans="1:23" s="246" customFormat="1" ht="2.25" customHeight="1">
      <c r="A108" s="148"/>
      <c r="B108" s="149"/>
      <c r="C108" s="150"/>
      <c r="D108" s="150"/>
      <c r="E108" s="150"/>
      <c r="F108" s="150"/>
      <c r="G108" s="150"/>
      <c r="H108" s="579"/>
      <c r="I108" s="150"/>
      <c r="J108" s="150"/>
      <c r="K108" s="150"/>
      <c r="L108" s="152"/>
      <c r="M108" s="150"/>
      <c r="N108" s="150"/>
      <c r="O108" s="150"/>
      <c r="P108" s="150"/>
      <c r="Q108" s="150"/>
      <c r="R108" s="150"/>
      <c r="S108" s="150"/>
      <c r="T108" s="152"/>
      <c r="U108" s="150"/>
      <c r="V108" s="152"/>
      <c r="W108" s="152"/>
    </row>
    <row r="109" spans="1:23" s="246" customFormat="1" ht="12.75">
      <c r="A109" s="148"/>
      <c r="B109" s="149"/>
      <c r="C109" s="150"/>
      <c r="D109" s="150"/>
      <c r="E109" s="150"/>
      <c r="F109" s="150"/>
      <c r="G109" s="150"/>
      <c r="H109" s="579"/>
      <c r="I109" s="150"/>
      <c r="J109" s="150"/>
      <c r="K109" s="150"/>
      <c r="L109" s="152"/>
      <c r="M109" s="150"/>
      <c r="N109" s="150"/>
      <c r="O109" s="150"/>
      <c r="P109" s="150"/>
      <c r="Q109" s="150"/>
      <c r="R109" s="150"/>
      <c r="S109" s="150"/>
      <c r="T109" s="152"/>
      <c r="U109" s="150"/>
      <c r="V109" s="152"/>
      <c r="W109" s="152"/>
    </row>
    <row r="110" spans="1:23" s="246" customFormat="1" ht="2.25" customHeight="1">
      <c r="A110" s="148"/>
      <c r="B110" s="149"/>
      <c r="C110" s="150"/>
      <c r="D110" s="150"/>
      <c r="E110" s="150"/>
      <c r="F110" s="150"/>
      <c r="G110" s="150"/>
      <c r="H110" s="579"/>
      <c r="I110" s="150"/>
      <c r="J110" s="150"/>
      <c r="K110" s="150"/>
      <c r="L110" s="152"/>
      <c r="M110" s="150"/>
      <c r="N110" s="150"/>
      <c r="O110" s="150"/>
      <c r="P110" s="150"/>
      <c r="Q110" s="150"/>
      <c r="R110" s="150"/>
      <c r="S110" s="150"/>
      <c r="T110" s="152"/>
      <c r="U110" s="150"/>
      <c r="V110" s="152"/>
      <c r="W110" s="152"/>
    </row>
    <row r="111" spans="1:23" s="246" customFormat="1" ht="13.5" customHeight="1">
      <c r="A111" s="148"/>
      <c r="B111" s="149"/>
      <c r="C111" s="150"/>
      <c r="D111" s="150"/>
      <c r="E111" s="150"/>
      <c r="F111" s="150"/>
      <c r="G111" s="150"/>
      <c r="H111" s="579"/>
      <c r="I111" s="150"/>
      <c r="J111" s="150"/>
      <c r="K111" s="150"/>
      <c r="L111" s="152"/>
      <c r="M111" s="150"/>
      <c r="N111" s="150"/>
      <c r="O111" s="150"/>
      <c r="P111" s="150"/>
      <c r="Q111" s="150"/>
      <c r="R111" s="150"/>
      <c r="S111" s="150"/>
      <c r="T111" s="152"/>
      <c r="U111" s="150"/>
      <c r="V111" s="152"/>
      <c r="W111" s="152"/>
    </row>
    <row r="112" spans="1:23" s="246" customFormat="1" ht="15" customHeight="1">
      <c r="A112" s="148"/>
      <c r="B112" s="149"/>
      <c r="C112" s="150"/>
      <c r="D112" s="150"/>
      <c r="E112" s="150"/>
      <c r="F112" s="150"/>
      <c r="G112" s="150"/>
      <c r="H112" s="579"/>
      <c r="I112" s="150"/>
      <c r="J112" s="150"/>
      <c r="K112" s="150"/>
      <c r="L112" s="152"/>
      <c r="M112" s="150"/>
      <c r="N112" s="150"/>
      <c r="O112" s="150"/>
      <c r="P112" s="150"/>
      <c r="Q112" s="150"/>
      <c r="R112" s="150"/>
      <c r="S112" s="150"/>
      <c r="T112" s="152"/>
      <c r="U112" s="150"/>
      <c r="V112" s="152"/>
      <c r="W112" s="152"/>
    </row>
    <row r="113" spans="1:23" s="246" customFormat="1" ht="12.75">
      <c r="A113" s="148"/>
      <c r="B113" s="149"/>
      <c r="C113" s="150"/>
      <c r="D113" s="150"/>
      <c r="E113" s="150"/>
      <c r="F113" s="150"/>
      <c r="G113" s="150"/>
      <c r="H113" s="579"/>
      <c r="I113" s="150"/>
      <c r="J113" s="150"/>
      <c r="K113" s="150"/>
      <c r="L113" s="152"/>
      <c r="M113" s="150"/>
      <c r="N113" s="150"/>
      <c r="O113" s="150"/>
      <c r="P113" s="150"/>
      <c r="Q113" s="150"/>
      <c r="R113" s="150"/>
      <c r="S113" s="150"/>
      <c r="T113" s="152"/>
      <c r="U113" s="150"/>
      <c r="V113" s="152"/>
      <c r="W113" s="152"/>
    </row>
    <row r="114" spans="1:23" s="246" customFormat="1" ht="12.75">
      <c r="A114" s="148"/>
      <c r="B114" s="149"/>
      <c r="C114" s="150"/>
      <c r="D114" s="150"/>
      <c r="E114" s="150"/>
      <c r="F114" s="150"/>
      <c r="G114" s="150"/>
      <c r="H114" s="579"/>
      <c r="I114" s="150"/>
      <c r="J114" s="150"/>
      <c r="K114" s="150"/>
      <c r="L114" s="152"/>
      <c r="M114" s="150"/>
      <c r="N114" s="150"/>
      <c r="O114" s="150"/>
      <c r="P114" s="150"/>
      <c r="Q114" s="150"/>
      <c r="R114" s="150"/>
      <c r="S114" s="150"/>
      <c r="T114" s="152"/>
      <c r="U114" s="150"/>
      <c r="V114" s="152"/>
      <c r="W114" s="152"/>
    </row>
    <row r="115" spans="1:23" s="246" customFormat="1" ht="12.75">
      <c r="A115" s="148"/>
      <c r="B115" s="149"/>
      <c r="C115" s="150"/>
      <c r="D115" s="150"/>
      <c r="E115" s="150"/>
      <c r="F115" s="150"/>
      <c r="G115" s="150"/>
      <c r="H115" s="579"/>
      <c r="I115" s="150"/>
      <c r="J115" s="150"/>
      <c r="K115" s="150"/>
      <c r="L115" s="152"/>
      <c r="M115" s="150"/>
      <c r="N115" s="150"/>
      <c r="O115" s="150"/>
      <c r="P115" s="150"/>
      <c r="Q115" s="150"/>
      <c r="R115" s="150"/>
      <c r="S115" s="150"/>
      <c r="T115" s="152"/>
      <c r="U115" s="150"/>
      <c r="V115" s="152"/>
      <c r="W115" s="152"/>
    </row>
    <row r="156" spans="1:23" s="246" customFormat="1" ht="12.75">
      <c r="A156" s="148"/>
      <c r="B156" s="149"/>
      <c r="C156" s="150"/>
      <c r="D156" s="150"/>
      <c r="E156" s="150"/>
      <c r="F156" s="150"/>
      <c r="G156" s="150"/>
      <c r="H156" s="579"/>
      <c r="I156" s="150"/>
      <c r="J156" s="150"/>
      <c r="K156" s="150"/>
      <c r="L156" s="152"/>
      <c r="M156" s="150"/>
      <c r="N156" s="150"/>
      <c r="O156" s="150"/>
      <c r="P156" s="150"/>
      <c r="Q156" s="150"/>
      <c r="R156" s="150"/>
      <c r="S156" s="150"/>
      <c r="T156" s="152"/>
      <c r="U156" s="150"/>
      <c r="V156" s="152"/>
      <c r="W156" s="152"/>
    </row>
    <row r="157" spans="1:23" s="246" customFormat="1" ht="12.75">
      <c r="A157" s="148"/>
      <c r="B157" s="149"/>
      <c r="C157" s="150"/>
      <c r="D157" s="150"/>
      <c r="E157" s="150"/>
      <c r="F157" s="150"/>
      <c r="G157" s="150"/>
      <c r="H157" s="579"/>
      <c r="I157" s="150"/>
      <c r="J157" s="150"/>
      <c r="K157" s="150"/>
      <c r="L157" s="152"/>
      <c r="M157" s="150"/>
      <c r="N157" s="150"/>
      <c r="O157" s="150"/>
      <c r="P157" s="150"/>
      <c r="Q157" s="150"/>
      <c r="R157" s="150"/>
      <c r="S157" s="150"/>
      <c r="T157" s="152"/>
      <c r="U157" s="150"/>
      <c r="V157" s="152"/>
      <c r="W157" s="152"/>
    </row>
    <row r="158" spans="1:23" s="246" customFormat="1" ht="2.25" customHeight="1">
      <c r="A158" s="148"/>
      <c r="B158" s="149"/>
      <c r="C158" s="150"/>
      <c r="D158" s="150"/>
      <c r="E158" s="150"/>
      <c r="F158" s="150"/>
      <c r="G158" s="150"/>
      <c r="H158" s="579"/>
      <c r="I158" s="150"/>
      <c r="J158" s="150"/>
      <c r="K158" s="150"/>
      <c r="L158" s="152"/>
      <c r="M158" s="150"/>
      <c r="N158" s="150"/>
      <c r="O158" s="150"/>
      <c r="P158" s="150"/>
      <c r="Q158" s="150"/>
      <c r="R158" s="150"/>
      <c r="S158" s="150"/>
      <c r="T158" s="152"/>
      <c r="U158" s="150"/>
      <c r="V158" s="152"/>
      <c r="W158" s="152"/>
    </row>
    <row r="159" spans="1:23" s="246" customFormat="1" ht="13.5" customHeight="1">
      <c r="A159" s="148"/>
      <c r="B159" s="149"/>
      <c r="C159" s="150"/>
      <c r="D159" s="150"/>
      <c r="E159" s="150"/>
      <c r="F159" s="150"/>
      <c r="G159" s="150"/>
      <c r="H159" s="579"/>
      <c r="I159" s="150"/>
      <c r="J159" s="150"/>
      <c r="K159" s="150"/>
      <c r="L159" s="152"/>
      <c r="M159" s="150"/>
      <c r="N159" s="150"/>
      <c r="O159" s="150"/>
      <c r="P159" s="150"/>
      <c r="Q159" s="150"/>
      <c r="R159" s="150"/>
      <c r="S159" s="150"/>
      <c r="T159" s="152"/>
      <c r="U159" s="150"/>
      <c r="V159" s="152"/>
      <c r="W159" s="152"/>
    </row>
    <row r="160" spans="1:23" s="246" customFormat="1" ht="15" customHeight="1">
      <c r="A160" s="148"/>
      <c r="B160" s="149"/>
      <c r="C160" s="150"/>
      <c r="D160" s="150"/>
      <c r="E160" s="150"/>
      <c r="F160" s="150"/>
      <c r="G160" s="150"/>
      <c r="H160" s="579"/>
      <c r="I160" s="150"/>
      <c r="J160" s="150"/>
      <c r="K160" s="150"/>
      <c r="L160" s="152"/>
      <c r="M160" s="150"/>
      <c r="N160" s="150"/>
      <c r="O160" s="150"/>
      <c r="P160" s="150"/>
      <c r="Q160" s="150"/>
      <c r="R160" s="150"/>
      <c r="S160" s="150"/>
      <c r="T160" s="152"/>
      <c r="U160" s="150"/>
      <c r="V160" s="152"/>
      <c r="W160" s="152"/>
    </row>
    <row r="161" spans="1:23" s="246" customFormat="1" ht="12.75">
      <c r="A161" s="148"/>
      <c r="B161" s="149"/>
      <c r="C161" s="150"/>
      <c r="D161" s="150"/>
      <c r="E161" s="150"/>
      <c r="F161" s="150"/>
      <c r="G161" s="150"/>
      <c r="H161" s="579"/>
      <c r="I161" s="150"/>
      <c r="J161" s="150"/>
      <c r="K161" s="150"/>
      <c r="L161" s="152"/>
      <c r="M161" s="150"/>
      <c r="N161" s="150"/>
      <c r="O161" s="150"/>
      <c r="P161" s="150"/>
      <c r="Q161" s="150"/>
      <c r="R161" s="150"/>
      <c r="S161" s="150"/>
      <c r="T161" s="152"/>
      <c r="U161" s="150"/>
      <c r="V161" s="152"/>
      <c r="W161" s="152"/>
    </row>
    <row r="162" spans="1:23" s="246" customFormat="1" ht="12.75">
      <c r="A162" s="148"/>
      <c r="B162" s="149"/>
      <c r="C162" s="150"/>
      <c r="D162" s="150"/>
      <c r="E162" s="150"/>
      <c r="F162" s="150"/>
      <c r="G162" s="150"/>
      <c r="H162" s="579"/>
      <c r="I162" s="150"/>
      <c r="J162" s="150"/>
      <c r="K162" s="150"/>
      <c r="L162" s="152"/>
      <c r="M162" s="150"/>
      <c r="N162" s="150"/>
      <c r="O162" s="150"/>
      <c r="P162" s="150"/>
      <c r="Q162" s="150"/>
      <c r="R162" s="150"/>
      <c r="S162" s="150"/>
      <c r="T162" s="152"/>
      <c r="U162" s="150"/>
      <c r="V162" s="152"/>
      <c r="W162" s="152"/>
    </row>
    <row r="163" spans="1:23" s="246" customFormat="1" ht="12.75">
      <c r="A163" s="148"/>
      <c r="B163" s="149"/>
      <c r="C163" s="150"/>
      <c r="D163" s="150"/>
      <c r="E163" s="150"/>
      <c r="F163" s="150"/>
      <c r="G163" s="150"/>
      <c r="H163" s="579"/>
      <c r="I163" s="150"/>
      <c r="J163" s="150"/>
      <c r="K163" s="150"/>
      <c r="L163" s="152"/>
      <c r="M163" s="150"/>
      <c r="N163" s="150"/>
      <c r="O163" s="150"/>
      <c r="P163" s="150"/>
      <c r="Q163" s="150"/>
      <c r="R163" s="150"/>
      <c r="S163" s="150"/>
      <c r="T163" s="152"/>
      <c r="U163" s="150"/>
      <c r="V163" s="152"/>
      <c r="W163" s="152"/>
    </row>
  </sheetData>
  <sheetProtection/>
  <mergeCells count="21">
    <mergeCell ref="R7:R8"/>
    <mergeCell ref="K7:K8"/>
    <mergeCell ref="J7:J8"/>
    <mergeCell ref="A5:E5"/>
    <mergeCell ref="S7:S8"/>
    <mergeCell ref="W7:W8"/>
    <mergeCell ref="P7:P8"/>
    <mergeCell ref="M7:M8"/>
    <mergeCell ref="Q7:Q8"/>
    <mergeCell ref="O7:O8"/>
    <mergeCell ref="H7:H8"/>
    <mergeCell ref="C35:E35"/>
    <mergeCell ref="I7:I8"/>
    <mergeCell ref="N7:N8"/>
    <mergeCell ref="A4:S4"/>
    <mergeCell ref="F5:K5"/>
    <mergeCell ref="D6:K6"/>
    <mergeCell ref="F7:F8"/>
    <mergeCell ref="G7:G8"/>
    <mergeCell ref="M5:S5"/>
    <mergeCell ref="M6:S6"/>
  </mergeCells>
  <printOptions horizontalCentered="1"/>
  <pageMargins left="0.2" right="0.19" top="0.7" bottom="0.17" header="0.4" footer="0.2"/>
  <pageSetup horizontalDpi="600" verticalDpi="600" orientation="landscape" paperSize="9" scale="88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9">
      <selection activeCell="L28" sqref="L28"/>
    </sheetView>
  </sheetViews>
  <sheetFormatPr defaultColWidth="9.140625" defaultRowHeight="12.75"/>
  <cols>
    <col min="1" max="1" width="3.8515625" style="148" customWidth="1"/>
    <col min="2" max="2" width="3.421875" style="149" customWidth="1"/>
    <col min="3" max="3" width="7.28125" style="150" customWidth="1"/>
    <col min="4" max="4" width="2.7109375" style="150" customWidth="1"/>
    <col min="5" max="5" width="34.57421875" style="150" customWidth="1"/>
    <col min="6" max="6" width="5.28125" style="150" customWidth="1"/>
    <col min="7" max="7" width="5.421875" style="150" customWidth="1"/>
    <col min="8" max="8" width="7.28125" style="150" customWidth="1"/>
    <col min="9" max="9" width="3.57421875" style="150" customWidth="1"/>
    <col min="10" max="10" width="3.7109375" style="150" customWidth="1"/>
    <col min="11" max="11" width="6.00390625" style="150" customWidth="1"/>
    <col min="12" max="12" width="8.00390625" style="150" bestFit="1" customWidth="1"/>
    <col min="13" max="13" width="0.9921875" style="152" customWidth="1"/>
    <col min="14" max="14" width="3.8515625" style="150" customWidth="1"/>
    <col min="15" max="15" width="4.140625" style="150" customWidth="1"/>
    <col min="16" max="16" width="6.140625" style="150" customWidth="1"/>
    <col min="17" max="17" width="6.8515625" style="150" bestFit="1" customWidth="1"/>
    <col min="18" max="18" width="7.28125" style="150" customWidth="1"/>
    <col min="19" max="19" width="0.71875" style="152" customWidth="1"/>
    <col min="20" max="20" width="9.28125" style="150" customWidth="1"/>
    <col min="21" max="16384" width="9.140625" style="150" customWidth="1"/>
  </cols>
  <sheetData>
    <row r="1" spans="12:20" ht="12.75">
      <c r="L1" s="151"/>
      <c r="R1" s="153"/>
      <c r="T1" s="153"/>
    </row>
    <row r="2" ht="12.75"/>
    <row r="3" spans="2:20" ht="18.75">
      <c r="B3" s="249" t="s">
        <v>132</v>
      </c>
      <c r="L3" s="579"/>
      <c r="T3" s="153"/>
    </row>
    <row r="4" ht="9.75" customHeight="1" thickBot="1"/>
    <row r="5" spans="1:22" ht="13.5" customHeight="1" thickBot="1">
      <c r="A5" s="1135" t="s">
        <v>497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7"/>
      <c r="M5" s="540"/>
      <c r="N5" s="1202"/>
      <c r="O5" s="1203"/>
      <c r="P5" s="1203"/>
      <c r="Q5" s="1203"/>
      <c r="R5" s="1204"/>
      <c r="S5" s="540"/>
      <c r="T5" s="256"/>
      <c r="U5" s="239"/>
      <c r="V5" s="240"/>
    </row>
    <row r="6" spans="1:22" ht="18.75" customHeight="1">
      <c r="A6" s="257"/>
      <c r="B6" s="1143" t="s">
        <v>30</v>
      </c>
      <c r="C6" s="1200"/>
      <c r="D6" s="1200"/>
      <c r="E6" s="1200"/>
      <c r="F6" s="1200"/>
      <c r="G6" s="1200"/>
      <c r="H6" s="1200"/>
      <c r="I6" s="1200"/>
      <c r="J6" s="1200"/>
      <c r="K6" s="1200"/>
      <c r="L6" s="1201"/>
      <c r="M6" s="262"/>
      <c r="N6" s="1205" t="s">
        <v>29</v>
      </c>
      <c r="O6" s="1206"/>
      <c r="P6" s="1206"/>
      <c r="Q6" s="1206"/>
      <c r="R6" s="1207"/>
      <c r="S6" s="262"/>
      <c r="T6" s="60" t="s">
        <v>31</v>
      </c>
      <c r="U6" s="60" t="s">
        <v>558</v>
      </c>
      <c r="V6" s="59" t="s">
        <v>558</v>
      </c>
    </row>
    <row r="7" spans="1:22" ht="12.75" customHeight="1" thickBot="1">
      <c r="A7" s="161"/>
      <c r="B7" s="147" t="s">
        <v>65</v>
      </c>
      <c r="C7" s="263" t="s">
        <v>27</v>
      </c>
      <c r="D7" s="1111" t="s">
        <v>28</v>
      </c>
      <c r="E7" s="1114"/>
      <c r="F7" s="1114"/>
      <c r="G7" s="1114"/>
      <c r="H7" s="1114"/>
      <c r="I7" s="1114"/>
      <c r="J7" s="1114"/>
      <c r="K7" s="1114"/>
      <c r="L7" s="1144"/>
      <c r="M7" s="31"/>
      <c r="N7" s="1208"/>
      <c r="O7" s="1128"/>
      <c r="P7" s="1128"/>
      <c r="Q7" s="1128"/>
      <c r="R7" s="1156"/>
      <c r="S7" s="31"/>
      <c r="T7" s="60"/>
      <c r="U7" s="60" t="s">
        <v>559</v>
      </c>
      <c r="V7" s="59" t="s">
        <v>559</v>
      </c>
    </row>
    <row r="8" spans="1:22" ht="12.75">
      <c r="A8" s="165"/>
      <c r="B8" s="145" t="s">
        <v>66</v>
      </c>
      <c r="C8" s="166" t="s">
        <v>64</v>
      </c>
      <c r="D8" s="267"/>
      <c r="E8" s="268" t="s">
        <v>20</v>
      </c>
      <c r="F8" s="1107">
        <v>610</v>
      </c>
      <c r="G8" s="1110">
        <v>620</v>
      </c>
      <c r="H8" s="1110">
        <v>630</v>
      </c>
      <c r="I8" s="1110">
        <v>640</v>
      </c>
      <c r="J8" s="1107">
        <v>650</v>
      </c>
      <c r="K8" s="1119" t="s">
        <v>562</v>
      </c>
      <c r="L8" s="1133" t="s">
        <v>558</v>
      </c>
      <c r="M8" s="31"/>
      <c r="N8" s="1142">
        <v>711</v>
      </c>
      <c r="O8" s="1110">
        <v>716</v>
      </c>
      <c r="P8" s="1110">
        <v>717</v>
      </c>
      <c r="Q8" s="1119" t="s">
        <v>562</v>
      </c>
      <c r="R8" s="1133" t="s">
        <v>558</v>
      </c>
      <c r="S8" s="31"/>
      <c r="T8" s="60" t="s">
        <v>49</v>
      </c>
      <c r="U8" s="60" t="s">
        <v>49</v>
      </c>
      <c r="V8" s="1118" t="s">
        <v>560</v>
      </c>
    </row>
    <row r="9" spans="1:22" ht="13.5" thickBot="1">
      <c r="A9" s="580"/>
      <c r="B9" s="410"/>
      <c r="C9" s="420"/>
      <c r="D9" s="421"/>
      <c r="E9" s="581"/>
      <c r="F9" s="1163"/>
      <c r="G9" s="1163"/>
      <c r="H9" s="1163"/>
      <c r="I9" s="1163"/>
      <c r="J9" s="1163"/>
      <c r="K9" s="1161"/>
      <c r="L9" s="1159"/>
      <c r="M9" s="523"/>
      <c r="N9" s="1162"/>
      <c r="O9" s="1163"/>
      <c r="P9" s="1163"/>
      <c r="Q9" s="1161"/>
      <c r="R9" s="1159"/>
      <c r="S9" s="523"/>
      <c r="T9" s="526">
        <v>2010</v>
      </c>
      <c r="U9" s="526" t="s">
        <v>561</v>
      </c>
      <c r="V9" s="1157"/>
    </row>
    <row r="10" spans="1:22" ht="15.75" customHeight="1" thickBot="1" thickTop="1">
      <c r="A10" s="582">
        <v>1</v>
      </c>
      <c r="B10" s="28" t="s">
        <v>443</v>
      </c>
      <c r="C10" s="11"/>
      <c r="D10" s="406"/>
      <c r="E10" s="406"/>
      <c r="F10" s="407">
        <f>F11+F26+F34</f>
        <v>38.8</v>
      </c>
      <c r="G10" s="272">
        <f>G11+G26+G34</f>
        <v>15.1</v>
      </c>
      <c r="H10" s="272">
        <f>H11+H26+H34</f>
        <v>127.4</v>
      </c>
      <c r="I10" s="272"/>
      <c r="J10" s="272"/>
      <c r="K10" s="274">
        <f>SUM(F10:J10)</f>
        <v>181.3</v>
      </c>
      <c r="L10" s="275">
        <f>L11+L26+L34</f>
        <v>172.60000000000002</v>
      </c>
      <c r="M10" s="273" t="e">
        <f>M11+#REF!+M26+M34</f>
        <v>#REF!</v>
      </c>
      <c r="N10" s="271">
        <f>N11+N26+N34</f>
        <v>0</v>
      </c>
      <c r="O10" s="272">
        <f>O11+O26+O34</f>
        <v>0</v>
      </c>
      <c r="P10" s="272">
        <f>P11+P26+P34</f>
        <v>476</v>
      </c>
      <c r="Q10" s="274">
        <f>SUM(N10:P10)</f>
        <v>476</v>
      </c>
      <c r="R10" s="275">
        <f>R11+R17</f>
        <v>476</v>
      </c>
      <c r="S10" s="273">
        <f>S11+S26+S34</f>
        <v>0</v>
      </c>
      <c r="T10" s="274">
        <f>T11+T26+T34</f>
        <v>657.3</v>
      </c>
      <c r="U10" s="275">
        <f>U11+U26+U34</f>
        <v>648.6000000000001</v>
      </c>
      <c r="V10" s="275">
        <f>+U10/T10*100</f>
        <v>98.67640346873576</v>
      </c>
    </row>
    <row r="11" spans="1:22" ht="15.75" customHeight="1" thickTop="1">
      <c r="A11" s="171">
        <f aca="true" t="shared" si="0" ref="A11:A38">A10+1</f>
        <v>2</v>
      </c>
      <c r="B11" s="379">
        <v>1</v>
      </c>
      <c r="C11" s="527" t="s">
        <v>439</v>
      </c>
      <c r="D11" s="486"/>
      <c r="E11" s="486"/>
      <c r="F11" s="382">
        <f>F12</f>
        <v>38.8</v>
      </c>
      <c r="G11" s="583">
        <f>G12</f>
        <v>15.1</v>
      </c>
      <c r="H11" s="583">
        <f>H12</f>
        <v>90.4</v>
      </c>
      <c r="I11" s="583"/>
      <c r="J11" s="583"/>
      <c r="K11" s="384">
        <f>SUM(F11:J11)</f>
        <v>144.3</v>
      </c>
      <c r="L11" s="386">
        <f>+L12</f>
        <v>135.70000000000002</v>
      </c>
      <c r="M11" s="298"/>
      <c r="N11" s="584"/>
      <c r="O11" s="382"/>
      <c r="P11" s="583">
        <f>P12</f>
        <v>476</v>
      </c>
      <c r="Q11" s="384">
        <f>SUM(N11:P11)</f>
        <v>476</v>
      </c>
      <c r="R11" s="386">
        <f>+R12</f>
        <v>476</v>
      </c>
      <c r="S11" s="298"/>
      <c r="T11" s="278">
        <f aca="true" t="shared" si="1" ref="T11:T38">+K11+Q11</f>
        <v>620.3</v>
      </c>
      <c r="U11" s="278">
        <f aca="true" t="shared" si="2" ref="U11:U38">+L11+R11</f>
        <v>611.7</v>
      </c>
      <c r="V11" s="278">
        <f aca="true" t="shared" si="3" ref="V11:V37">+U11/T11*100</f>
        <v>98.61357407705951</v>
      </c>
    </row>
    <row r="12" spans="1:22" ht="15.75" customHeight="1">
      <c r="A12" s="172">
        <f t="shared" si="0"/>
        <v>3</v>
      </c>
      <c r="B12" s="181"/>
      <c r="C12" s="182" t="s">
        <v>464</v>
      </c>
      <c r="D12" s="585" t="s">
        <v>1</v>
      </c>
      <c r="E12" s="184"/>
      <c r="F12" s="280">
        <f>SUM(F13:F25)</f>
        <v>38.8</v>
      </c>
      <c r="G12" s="280">
        <f>SUM(G13:G25)</f>
        <v>15.1</v>
      </c>
      <c r="H12" s="280">
        <f>SUM(H13:H25)</f>
        <v>90.4</v>
      </c>
      <c r="I12" s="280"/>
      <c r="J12" s="280"/>
      <c r="K12" s="189">
        <f>SUM(K13:K25)</f>
        <v>144.29999999999998</v>
      </c>
      <c r="L12" s="282">
        <f>SUM(L13:L25)</f>
        <v>135.70000000000002</v>
      </c>
      <c r="M12" s="303"/>
      <c r="N12" s="304"/>
      <c r="O12" s="280"/>
      <c r="P12" s="280">
        <f>SUM(P13:P25)</f>
        <v>476</v>
      </c>
      <c r="Q12" s="189">
        <f>SUM(Q13:Q25)</f>
        <v>476</v>
      </c>
      <c r="R12" s="282">
        <f>SUM(R13:R25)</f>
        <v>476</v>
      </c>
      <c r="S12" s="303"/>
      <c r="T12" s="286">
        <f t="shared" si="1"/>
        <v>620.3</v>
      </c>
      <c r="U12" s="286">
        <f t="shared" si="2"/>
        <v>611.7</v>
      </c>
      <c r="V12" s="286">
        <f t="shared" si="3"/>
        <v>98.61357407705951</v>
      </c>
    </row>
    <row r="13" spans="1:22" ht="15.75" customHeight="1">
      <c r="A13" s="172">
        <f t="shared" si="0"/>
        <v>4</v>
      </c>
      <c r="B13" s="181"/>
      <c r="C13" s="190"/>
      <c r="D13" s="191" t="s">
        <v>21</v>
      </c>
      <c r="E13" s="586" t="s">
        <v>122</v>
      </c>
      <c r="F13" s="370">
        <v>38.8</v>
      </c>
      <c r="G13" s="370">
        <v>15.1</v>
      </c>
      <c r="H13" s="370"/>
      <c r="I13" s="193"/>
      <c r="J13" s="193"/>
      <c r="K13" s="235">
        <f>SUM(F13:J13)</f>
        <v>53.9</v>
      </c>
      <c r="L13" s="880">
        <f>36.8+14.6</f>
        <v>51.4</v>
      </c>
      <c r="M13" s="270"/>
      <c r="N13" s="295"/>
      <c r="O13" s="193"/>
      <c r="P13" s="193">
        <v>476</v>
      </c>
      <c r="Q13" s="235">
        <f>SUM(M13:P13)</f>
        <v>476</v>
      </c>
      <c r="R13" s="833">
        <v>476</v>
      </c>
      <c r="S13" s="270"/>
      <c r="T13" s="293">
        <f t="shared" si="1"/>
        <v>529.9</v>
      </c>
      <c r="U13" s="293">
        <f t="shared" si="2"/>
        <v>527.4</v>
      </c>
      <c r="V13" s="293">
        <f t="shared" si="3"/>
        <v>99.52821287035289</v>
      </c>
    </row>
    <row r="14" spans="1:22" ht="15.75" customHeight="1">
      <c r="A14" s="172">
        <f t="shared" si="0"/>
        <v>5</v>
      </c>
      <c r="B14" s="181"/>
      <c r="C14" s="190"/>
      <c r="D14" s="172">
        <f aca="true" t="shared" si="4" ref="D14:D23">D13+1</f>
        <v>2</v>
      </c>
      <c r="E14" s="587" t="s">
        <v>123</v>
      </c>
      <c r="F14" s="194"/>
      <c r="G14" s="194"/>
      <c r="H14" s="296">
        <v>53</v>
      </c>
      <c r="I14" s="193"/>
      <c r="J14" s="193"/>
      <c r="K14" s="235">
        <f>SUM(F14:J14)</f>
        <v>53</v>
      </c>
      <c r="L14" s="880">
        <f>54.2+0.1-1.3</f>
        <v>53.00000000000001</v>
      </c>
      <c r="M14" s="270"/>
      <c r="N14" s="295"/>
      <c r="O14" s="193"/>
      <c r="P14" s="193"/>
      <c r="Q14" s="235">
        <f aca="true" t="shared" si="5" ref="Q14:Q25">SUM(M14:P14)</f>
        <v>0</v>
      </c>
      <c r="R14" s="833">
        <v>0</v>
      </c>
      <c r="S14" s="270"/>
      <c r="T14" s="293">
        <f t="shared" si="1"/>
        <v>53</v>
      </c>
      <c r="U14" s="293">
        <f t="shared" si="2"/>
        <v>53.00000000000001</v>
      </c>
      <c r="V14" s="293">
        <f t="shared" si="3"/>
        <v>100.00000000000003</v>
      </c>
    </row>
    <row r="15" spans="1:22" ht="15.75" customHeight="1">
      <c r="A15" s="172">
        <f t="shared" si="0"/>
        <v>6</v>
      </c>
      <c r="B15" s="181"/>
      <c r="C15" s="190"/>
      <c r="D15" s="172">
        <f t="shared" si="4"/>
        <v>3</v>
      </c>
      <c r="E15" s="587" t="s">
        <v>124</v>
      </c>
      <c r="F15" s="194"/>
      <c r="G15" s="194"/>
      <c r="H15" s="194">
        <v>7</v>
      </c>
      <c r="I15" s="193"/>
      <c r="J15" s="193"/>
      <c r="K15" s="235">
        <f>SUM(F15:J15)</f>
        <v>7</v>
      </c>
      <c r="L15" s="880">
        <f>3.6+1.3</f>
        <v>4.9</v>
      </c>
      <c r="M15" s="270"/>
      <c r="N15" s="295"/>
      <c r="O15" s="193"/>
      <c r="P15" s="193"/>
      <c r="Q15" s="235">
        <f t="shared" si="5"/>
        <v>0</v>
      </c>
      <c r="R15" s="833">
        <v>0</v>
      </c>
      <c r="S15" s="270"/>
      <c r="T15" s="293">
        <f t="shared" si="1"/>
        <v>7</v>
      </c>
      <c r="U15" s="293">
        <f t="shared" si="2"/>
        <v>4.9</v>
      </c>
      <c r="V15" s="293">
        <f t="shared" si="3"/>
        <v>70</v>
      </c>
    </row>
    <row r="16" spans="1:22" ht="15.75" customHeight="1">
      <c r="A16" s="172">
        <f t="shared" si="0"/>
        <v>7</v>
      </c>
      <c r="B16" s="181"/>
      <c r="C16" s="190"/>
      <c r="D16" s="172">
        <f t="shared" si="4"/>
        <v>4</v>
      </c>
      <c r="E16" s="588" t="s">
        <v>557</v>
      </c>
      <c r="F16" s="194"/>
      <c r="G16" s="194"/>
      <c r="H16" s="194">
        <v>0.8</v>
      </c>
      <c r="I16" s="193"/>
      <c r="J16" s="193"/>
      <c r="K16" s="235">
        <f>SUM(F16:J16)</f>
        <v>0.8</v>
      </c>
      <c r="L16" s="880">
        <v>0.7</v>
      </c>
      <c r="M16" s="270"/>
      <c r="N16" s="295"/>
      <c r="O16" s="193"/>
      <c r="P16" s="193"/>
      <c r="Q16" s="235">
        <f t="shared" si="5"/>
        <v>0</v>
      </c>
      <c r="R16" s="833">
        <v>0</v>
      </c>
      <c r="S16" s="270"/>
      <c r="T16" s="293">
        <f t="shared" si="1"/>
        <v>0.8</v>
      </c>
      <c r="U16" s="293">
        <f t="shared" si="2"/>
        <v>0.7</v>
      </c>
      <c r="V16" s="293">
        <f t="shared" si="3"/>
        <v>87.49999999999999</v>
      </c>
    </row>
    <row r="17" spans="1:22" ht="15.75" customHeight="1">
      <c r="A17" s="172">
        <f t="shared" si="0"/>
        <v>8</v>
      </c>
      <c r="B17" s="181"/>
      <c r="C17" s="190"/>
      <c r="D17" s="172">
        <f t="shared" si="4"/>
        <v>5</v>
      </c>
      <c r="E17" s="588" t="s">
        <v>125</v>
      </c>
      <c r="F17" s="194"/>
      <c r="G17" s="194"/>
      <c r="H17" s="194">
        <v>12.5</v>
      </c>
      <c r="I17" s="193"/>
      <c r="J17" s="193"/>
      <c r="K17" s="235">
        <f>SUM(F17:J17)</f>
        <v>12.5</v>
      </c>
      <c r="L17" s="880">
        <f>8.1+0.2</f>
        <v>8.299999999999999</v>
      </c>
      <c r="M17" s="270"/>
      <c r="N17" s="295"/>
      <c r="O17" s="193"/>
      <c r="P17" s="193"/>
      <c r="Q17" s="235">
        <f t="shared" si="5"/>
        <v>0</v>
      </c>
      <c r="R17" s="833">
        <v>0</v>
      </c>
      <c r="S17" s="270"/>
      <c r="T17" s="293">
        <f t="shared" si="1"/>
        <v>12.5</v>
      </c>
      <c r="U17" s="293">
        <f t="shared" si="2"/>
        <v>8.299999999999999</v>
      </c>
      <c r="V17" s="293">
        <f t="shared" si="3"/>
        <v>66.39999999999999</v>
      </c>
    </row>
    <row r="18" spans="1:22" ht="15.75" customHeight="1">
      <c r="A18" s="172">
        <f t="shared" si="0"/>
        <v>9</v>
      </c>
      <c r="B18" s="181"/>
      <c r="C18" s="190"/>
      <c r="D18" s="172">
        <f t="shared" si="4"/>
        <v>6</v>
      </c>
      <c r="E18" s="587" t="s">
        <v>126</v>
      </c>
      <c r="F18" s="194"/>
      <c r="G18" s="194"/>
      <c r="H18" s="194">
        <v>3</v>
      </c>
      <c r="I18" s="193"/>
      <c r="J18" s="193"/>
      <c r="K18" s="235">
        <f aca="true" t="shared" si="6" ref="K18:K25">SUM(F18:J18)</f>
        <v>3</v>
      </c>
      <c r="L18" s="880">
        <f>3.2+0.4</f>
        <v>3.6</v>
      </c>
      <c r="M18" s="270"/>
      <c r="N18" s="295"/>
      <c r="O18" s="193"/>
      <c r="P18" s="193"/>
      <c r="Q18" s="235">
        <f t="shared" si="5"/>
        <v>0</v>
      </c>
      <c r="R18" s="833">
        <v>0</v>
      </c>
      <c r="S18" s="270"/>
      <c r="T18" s="293">
        <f t="shared" si="1"/>
        <v>3</v>
      </c>
      <c r="U18" s="293">
        <f t="shared" si="2"/>
        <v>3.6</v>
      </c>
      <c r="V18" s="293">
        <f t="shared" si="3"/>
        <v>120</v>
      </c>
    </row>
    <row r="19" spans="1:22" ht="15.75" customHeight="1">
      <c r="A19" s="172">
        <f t="shared" si="0"/>
        <v>10</v>
      </c>
      <c r="B19" s="181"/>
      <c r="C19" s="190"/>
      <c r="D19" s="172">
        <f t="shared" si="4"/>
        <v>7</v>
      </c>
      <c r="E19" s="587" t="s">
        <v>127</v>
      </c>
      <c r="F19" s="194"/>
      <c r="G19" s="194"/>
      <c r="H19" s="194">
        <v>0.2</v>
      </c>
      <c r="I19" s="193"/>
      <c r="J19" s="193"/>
      <c r="K19" s="235">
        <f t="shared" si="6"/>
        <v>0.2</v>
      </c>
      <c r="L19" s="880">
        <v>0.3</v>
      </c>
      <c r="M19" s="270"/>
      <c r="N19" s="295"/>
      <c r="O19" s="193"/>
      <c r="P19" s="193"/>
      <c r="Q19" s="235">
        <f t="shared" si="5"/>
        <v>0</v>
      </c>
      <c r="R19" s="833">
        <v>0</v>
      </c>
      <c r="S19" s="270"/>
      <c r="T19" s="293">
        <f t="shared" si="1"/>
        <v>0.2</v>
      </c>
      <c r="U19" s="293">
        <f t="shared" si="2"/>
        <v>0.3</v>
      </c>
      <c r="V19" s="293">
        <f t="shared" si="3"/>
        <v>149.99999999999997</v>
      </c>
    </row>
    <row r="20" spans="1:22" ht="15.75" customHeight="1">
      <c r="A20" s="172">
        <f t="shared" si="0"/>
        <v>11</v>
      </c>
      <c r="B20" s="181"/>
      <c r="C20" s="190"/>
      <c r="D20" s="172">
        <f t="shared" si="4"/>
        <v>8</v>
      </c>
      <c r="E20" s="587" t="s">
        <v>476</v>
      </c>
      <c r="F20" s="194"/>
      <c r="G20" s="194"/>
      <c r="H20" s="194">
        <v>3</v>
      </c>
      <c r="I20" s="193"/>
      <c r="J20" s="193"/>
      <c r="K20" s="235">
        <f t="shared" si="6"/>
        <v>3</v>
      </c>
      <c r="L20" s="880">
        <v>0</v>
      </c>
      <c r="M20" s="270"/>
      <c r="N20" s="295"/>
      <c r="O20" s="193"/>
      <c r="P20" s="193"/>
      <c r="Q20" s="235">
        <f t="shared" si="5"/>
        <v>0</v>
      </c>
      <c r="R20" s="833">
        <v>0</v>
      </c>
      <c r="S20" s="270"/>
      <c r="T20" s="293">
        <f t="shared" si="1"/>
        <v>3</v>
      </c>
      <c r="U20" s="293">
        <f t="shared" si="2"/>
        <v>0</v>
      </c>
      <c r="V20" s="293">
        <f t="shared" si="3"/>
        <v>0</v>
      </c>
    </row>
    <row r="21" spans="1:22" ht="15.75" customHeight="1">
      <c r="A21" s="172">
        <f t="shared" si="0"/>
        <v>12</v>
      </c>
      <c r="B21" s="181"/>
      <c r="C21" s="190"/>
      <c r="D21" s="172">
        <f t="shared" si="4"/>
        <v>9</v>
      </c>
      <c r="E21" s="587" t="s">
        <v>459</v>
      </c>
      <c r="F21" s="194"/>
      <c r="G21" s="194"/>
      <c r="H21" s="194">
        <v>6</v>
      </c>
      <c r="I21" s="193"/>
      <c r="J21" s="193"/>
      <c r="K21" s="235">
        <f t="shared" si="6"/>
        <v>6</v>
      </c>
      <c r="L21" s="880">
        <v>4.9</v>
      </c>
      <c r="M21" s="270"/>
      <c r="N21" s="295"/>
      <c r="O21" s="193"/>
      <c r="P21" s="193"/>
      <c r="Q21" s="235">
        <f t="shared" si="5"/>
        <v>0</v>
      </c>
      <c r="R21" s="833">
        <v>0</v>
      </c>
      <c r="S21" s="270"/>
      <c r="T21" s="293">
        <f t="shared" si="1"/>
        <v>6</v>
      </c>
      <c r="U21" s="293">
        <f t="shared" si="2"/>
        <v>4.9</v>
      </c>
      <c r="V21" s="293">
        <f t="shared" si="3"/>
        <v>81.66666666666667</v>
      </c>
    </row>
    <row r="22" spans="1:22" s="211" customFormat="1" ht="15.75" customHeight="1">
      <c r="A22" s="172">
        <f t="shared" si="0"/>
        <v>13</v>
      </c>
      <c r="B22" s="181"/>
      <c r="C22" s="190"/>
      <c r="D22" s="172">
        <f t="shared" si="4"/>
        <v>10</v>
      </c>
      <c r="E22" s="588" t="s">
        <v>501</v>
      </c>
      <c r="F22" s="194"/>
      <c r="G22" s="194"/>
      <c r="H22" s="194">
        <v>1</v>
      </c>
      <c r="I22" s="193"/>
      <c r="J22" s="193"/>
      <c r="K22" s="235">
        <f t="shared" si="6"/>
        <v>1</v>
      </c>
      <c r="L22" s="880">
        <v>4.2</v>
      </c>
      <c r="M22" s="270"/>
      <c r="N22" s="295"/>
      <c r="O22" s="193"/>
      <c r="P22" s="193"/>
      <c r="Q22" s="235">
        <f t="shared" si="5"/>
        <v>0</v>
      </c>
      <c r="R22" s="833">
        <v>0</v>
      </c>
      <c r="S22" s="270"/>
      <c r="T22" s="293">
        <f t="shared" si="1"/>
        <v>1</v>
      </c>
      <c r="U22" s="293">
        <f t="shared" si="2"/>
        <v>4.2</v>
      </c>
      <c r="V22" s="293">
        <f t="shared" si="3"/>
        <v>420</v>
      </c>
    </row>
    <row r="23" spans="1:22" s="211" customFormat="1" ht="15.75" customHeight="1">
      <c r="A23" s="172">
        <f t="shared" si="0"/>
        <v>14</v>
      </c>
      <c r="B23" s="181"/>
      <c r="C23" s="190"/>
      <c r="D23" s="172">
        <f t="shared" si="4"/>
        <v>11</v>
      </c>
      <c r="E23" s="587" t="s">
        <v>360</v>
      </c>
      <c r="F23" s="194"/>
      <c r="G23" s="194"/>
      <c r="H23" s="194">
        <v>1</v>
      </c>
      <c r="I23" s="193"/>
      <c r="J23" s="193"/>
      <c r="K23" s="235">
        <f t="shared" si="6"/>
        <v>1</v>
      </c>
      <c r="L23" s="880">
        <v>1.5</v>
      </c>
      <c r="M23" s="270"/>
      <c r="N23" s="295"/>
      <c r="O23" s="193"/>
      <c r="P23" s="193"/>
      <c r="Q23" s="235">
        <f t="shared" si="5"/>
        <v>0</v>
      </c>
      <c r="R23" s="833">
        <v>0</v>
      </c>
      <c r="S23" s="270"/>
      <c r="T23" s="293">
        <f t="shared" si="1"/>
        <v>1</v>
      </c>
      <c r="U23" s="293">
        <f t="shared" si="2"/>
        <v>1.5</v>
      </c>
      <c r="V23" s="293">
        <f t="shared" si="3"/>
        <v>150</v>
      </c>
    </row>
    <row r="24" spans="1:22" s="211" customFormat="1" ht="15.75" customHeight="1">
      <c r="A24" s="172">
        <f>A23+1</f>
        <v>15</v>
      </c>
      <c r="B24" s="181"/>
      <c r="C24" s="190"/>
      <c r="D24" s="172">
        <f>D22+1</f>
        <v>11</v>
      </c>
      <c r="E24" s="587" t="s">
        <v>128</v>
      </c>
      <c r="F24" s="194"/>
      <c r="G24" s="194"/>
      <c r="H24" s="194">
        <v>0.4</v>
      </c>
      <c r="I24" s="193"/>
      <c r="J24" s="193"/>
      <c r="K24" s="235">
        <f t="shared" si="6"/>
        <v>0.4</v>
      </c>
      <c r="L24" s="880">
        <v>0.4</v>
      </c>
      <c r="M24" s="270"/>
      <c r="N24" s="295"/>
      <c r="O24" s="193"/>
      <c r="P24" s="193"/>
      <c r="Q24" s="235">
        <f t="shared" si="5"/>
        <v>0</v>
      </c>
      <c r="R24" s="833">
        <v>0</v>
      </c>
      <c r="S24" s="270"/>
      <c r="T24" s="293">
        <f t="shared" si="1"/>
        <v>0.4</v>
      </c>
      <c r="U24" s="293">
        <f t="shared" si="2"/>
        <v>0.4</v>
      </c>
      <c r="V24" s="293">
        <f t="shared" si="3"/>
        <v>100</v>
      </c>
    </row>
    <row r="25" spans="1:22" ht="15.75" customHeight="1">
      <c r="A25" s="172">
        <f>A24+1</f>
        <v>16</v>
      </c>
      <c r="B25" s="181"/>
      <c r="C25" s="190"/>
      <c r="D25" s="172">
        <f>D23+1</f>
        <v>12</v>
      </c>
      <c r="E25" s="588" t="s">
        <v>475</v>
      </c>
      <c r="F25" s="194"/>
      <c r="G25" s="194"/>
      <c r="H25" s="194">
        <v>2.5</v>
      </c>
      <c r="I25" s="193"/>
      <c r="J25" s="193"/>
      <c r="K25" s="235">
        <f t="shared" si="6"/>
        <v>2.5</v>
      </c>
      <c r="L25" s="880">
        <v>2.5</v>
      </c>
      <c r="M25" s="270"/>
      <c r="N25" s="295"/>
      <c r="O25" s="193"/>
      <c r="P25" s="193"/>
      <c r="Q25" s="235">
        <f t="shared" si="5"/>
        <v>0</v>
      </c>
      <c r="R25" s="833">
        <v>0</v>
      </c>
      <c r="S25" s="270"/>
      <c r="T25" s="293">
        <f t="shared" si="1"/>
        <v>2.5</v>
      </c>
      <c r="U25" s="293">
        <f t="shared" si="2"/>
        <v>2.5</v>
      </c>
      <c r="V25" s="293">
        <f t="shared" si="3"/>
        <v>100</v>
      </c>
    </row>
    <row r="26" spans="1:22" ht="15.75" customHeight="1">
      <c r="A26" s="172">
        <f t="shared" si="0"/>
        <v>17</v>
      </c>
      <c r="B26" s="173">
        <v>2</v>
      </c>
      <c r="C26" s="174" t="s">
        <v>116</v>
      </c>
      <c r="D26" s="175"/>
      <c r="E26" s="175"/>
      <c r="F26" s="176"/>
      <c r="G26" s="176"/>
      <c r="H26" s="176">
        <f>H27</f>
        <v>33.8</v>
      </c>
      <c r="I26" s="176"/>
      <c r="J26" s="176"/>
      <c r="K26" s="384">
        <f>SUM(F26:J26)</f>
        <v>33.8</v>
      </c>
      <c r="L26" s="386">
        <f>+L27</f>
        <v>34.2</v>
      </c>
      <c r="M26" s="298"/>
      <c r="N26" s="312"/>
      <c r="O26" s="176"/>
      <c r="P26" s="176"/>
      <c r="Q26" s="384">
        <f>SUM(N26:P26)</f>
        <v>0</v>
      </c>
      <c r="R26" s="386">
        <f>+R27</f>
        <v>0</v>
      </c>
      <c r="S26" s="298"/>
      <c r="T26" s="589">
        <f t="shared" si="1"/>
        <v>33.8</v>
      </c>
      <c r="U26" s="589">
        <f t="shared" si="2"/>
        <v>34.2</v>
      </c>
      <c r="V26" s="589">
        <f t="shared" si="3"/>
        <v>101.18343195266273</v>
      </c>
    </row>
    <row r="27" spans="1:22" ht="15.75" customHeight="1">
      <c r="A27" s="172">
        <f t="shared" si="0"/>
        <v>18</v>
      </c>
      <c r="B27" s="181"/>
      <c r="C27" s="182" t="s">
        <v>464</v>
      </c>
      <c r="D27" s="585" t="s">
        <v>116</v>
      </c>
      <c r="E27" s="184"/>
      <c r="F27" s="280"/>
      <c r="G27" s="280"/>
      <c r="H27" s="280">
        <f>SUM(H28:H33)</f>
        <v>33.8</v>
      </c>
      <c r="I27" s="280"/>
      <c r="J27" s="280"/>
      <c r="K27" s="189">
        <f>SUM(K28:K33)</f>
        <v>33.8</v>
      </c>
      <c r="L27" s="282">
        <f>SUM(L28:L33)</f>
        <v>34.2</v>
      </c>
      <c r="M27" s="303"/>
      <c r="N27" s="304"/>
      <c r="O27" s="280"/>
      <c r="P27" s="280"/>
      <c r="Q27" s="189">
        <f>SUM(Q28:Q40)</f>
        <v>0</v>
      </c>
      <c r="R27" s="282">
        <f>SUM(R28:R40)</f>
        <v>0</v>
      </c>
      <c r="S27" s="303"/>
      <c r="T27" s="286">
        <f t="shared" si="1"/>
        <v>33.8</v>
      </c>
      <c r="U27" s="286">
        <f t="shared" si="2"/>
        <v>34.2</v>
      </c>
      <c r="V27" s="286">
        <f t="shared" si="3"/>
        <v>101.18343195266273</v>
      </c>
    </row>
    <row r="28" spans="1:22" ht="15.75" customHeight="1">
      <c r="A28" s="172">
        <f t="shared" si="0"/>
        <v>19</v>
      </c>
      <c r="B28" s="181"/>
      <c r="C28" s="190"/>
      <c r="D28" s="191" t="s">
        <v>21</v>
      </c>
      <c r="E28" s="587" t="s">
        <v>117</v>
      </c>
      <c r="F28" s="193"/>
      <c r="G28" s="193"/>
      <c r="H28" s="194">
        <v>23.3</v>
      </c>
      <c r="I28" s="193"/>
      <c r="J28" s="193"/>
      <c r="K28" s="235">
        <f aca="true" t="shared" si="7" ref="K28:K34">SUM(F28:J28)</f>
        <v>23.3</v>
      </c>
      <c r="L28" s="833">
        <f>22.6+6.4</f>
        <v>29</v>
      </c>
      <c r="M28" s="270"/>
      <c r="N28" s="295"/>
      <c r="O28" s="193"/>
      <c r="P28" s="193"/>
      <c r="Q28" s="235">
        <f aca="true" t="shared" si="8" ref="Q28:Q33">SUM(M28:P28)</f>
        <v>0</v>
      </c>
      <c r="R28" s="833">
        <v>0</v>
      </c>
      <c r="S28" s="270"/>
      <c r="T28" s="293">
        <f t="shared" si="1"/>
        <v>23.3</v>
      </c>
      <c r="U28" s="293">
        <f t="shared" si="2"/>
        <v>29</v>
      </c>
      <c r="V28" s="293">
        <f t="shared" si="3"/>
        <v>124.46351931330473</v>
      </c>
    </row>
    <row r="29" spans="1:22" ht="15.75" customHeight="1">
      <c r="A29" s="172">
        <f t="shared" si="0"/>
        <v>20</v>
      </c>
      <c r="B29" s="181"/>
      <c r="C29" s="190"/>
      <c r="D29" s="172">
        <f>D28+1</f>
        <v>2</v>
      </c>
      <c r="E29" s="587" t="s">
        <v>498</v>
      </c>
      <c r="F29" s="193"/>
      <c r="G29" s="193"/>
      <c r="H29" s="194">
        <v>1.4</v>
      </c>
      <c r="I29" s="193"/>
      <c r="J29" s="193"/>
      <c r="K29" s="235">
        <f t="shared" si="7"/>
        <v>1.4</v>
      </c>
      <c r="L29" s="833">
        <v>2</v>
      </c>
      <c r="M29" s="270"/>
      <c r="N29" s="295"/>
      <c r="O29" s="193"/>
      <c r="P29" s="193"/>
      <c r="Q29" s="235">
        <f t="shared" si="8"/>
        <v>0</v>
      </c>
      <c r="R29" s="833">
        <v>0</v>
      </c>
      <c r="S29" s="270"/>
      <c r="T29" s="293">
        <f t="shared" si="1"/>
        <v>1.4</v>
      </c>
      <c r="U29" s="293">
        <f t="shared" si="2"/>
        <v>2</v>
      </c>
      <c r="V29" s="293">
        <f t="shared" si="3"/>
        <v>142.85714285714286</v>
      </c>
    </row>
    <row r="30" spans="1:22" ht="15.75" customHeight="1">
      <c r="A30" s="172">
        <f t="shared" si="0"/>
        <v>21</v>
      </c>
      <c r="B30" s="181"/>
      <c r="C30" s="190"/>
      <c r="D30" s="172">
        <f>D29+1</f>
        <v>3</v>
      </c>
      <c r="E30" s="587" t="s">
        <v>118</v>
      </c>
      <c r="F30" s="193"/>
      <c r="G30" s="193"/>
      <c r="H30" s="194">
        <v>1.4</v>
      </c>
      <c r="I30" s="193"/>
      <c r="J30" s="193"/>
      <c r="K30" s="235">
        <f t="shared" si="7"/>
        <v>1.4</v>
      </c>
      <c r="L30" s="833">
        <v>0.8</v>
      </c>
      <c r="M30" s="270"/>
      <c r="N30" s="295"/>
      <c r="O30" s="193"/>
      <c r="P30" s="193"/>
      <c r="Q30" s="235">
        <f t="shared" si="8"/>
        <v>0</v>
      </c>
      <c r="R30" s="833">
        <v>0</v>
      </c>
      <c r="S30" s="270"/>
      <c r="T30" s="293">
        <f t="shared" si="1"/>
        <v>1.4</v>
      </c>
      <c r="U30" s="293">
        <f t="shared" si="2"/>
        <v>0.8</v>
      </c>
      <c r="V30" s="293">
        <f t="shared" si="3"/>
        <v>57.14285714285715</v>
      </c>
    </row>
    <row r="31" spans="1:22" ht="15.75" customHeight="1">
      <c r="A31" s="172">
        <f t="shared" si="0"/>
        <v>22</v>
      </c>
      <c r="B31" s="181"/>
      <c r="C31" s="190"/>
      <c r="D31" s="172">
        <f>D30+1</f>
        <v>4</v>
      </c>
      <c r="E31" s="587" t="s">
        <v>119</v>
      </c>
      <c r="F31" s="193"/>
      <c r="G31" s="193"/>
      <c r="H31" s="194">
        <v>5.3</v>
      </c>
      <c r="I31" s="193"/>
      <c r="J31" s="193"/>
      <c r="K31" s="235">
        <f t="shared" si="7"/>
        <v>5.3</v>
      </c>
      <c r="L31" s="833">
        <v>0.7</v>
      </c>
      <c r="M31" s="270"/>
      <c r="N31" s="295"/>
      <c r="O31" s="193"/>
      <c r="P31" s="193"/>
      <c r="Q31" s="235">
        <f t="shared" si="8"/>
        <v>0</v>
      </c>
      <c r="R31" s="833">
        <v>0</v>
      </c>
      <c r="S31" s="270"/>
      <c r="T31" s="293">
        <f t="shared" si="1"/>
        <v>5.3</v>
      </c>
      <c r="U31" s="293">
        <f t="shared" si="2"/>
        <v>0.7</v>
      </c>
      <c r="V31" s="293">
        <f t="shared" si="3"/>
        <v>13.20754716981132</v>
      </c>
    </row>
    <row r="32" spans="1:22" ht="15.75" customHeight="1">
      <c r="A32" s="172">
        <f t="shared" si="0"/>
        <v>23</v>
      </c>
      <c r="B32" s="181"/>
      <c r="C32" s="190"/>
      <c r="D32" s="172">
        <f>D31+1</f>
        <v>5</v>
      </c>
      <c r="E32" s="587" t="s">
        <v>120</v>
      </c>
      <c r="F32" s="193"/>
      <c r="G32" s="193"/>
      <c r="H32" s="194">
        <v>1.4</v>
      </c>
      <c r="I32" s="193"/>
      <c r="J32" s="193"/>
      <c r="K32" s="235">
        <f t="shared" si="7"/>
        <v>1.4</v>
      </c>
      <c r="L32" s="833">
        <v>0.7</v>
      </c>
      <c r="M32" s="270"/>
      <c r="N32" s="295"/>
      <c r="O32" s="193"/>
      <c r="P32" s="193"/>
      <c r="Q32" s="235">
        <f t="shared" si="8"/>
        <v>0</v>
      </c>
      <c r="R32" s="833">
        <v>0</v>
      </c>
      <c r="S32" s="270"/>
      <c r="T32" s="293">
        <f t="shared" si="1"/>
        <v>1.4</v>
      </c>
      <c r="U32" s="293">
        <f t="shared" si="2"/>
        <v>0.7</v>
      </c>
      <c r="V32" s="293">
        <f t="shared" si="3"/>
        <v>50</v>
      </c>
    </row>
    <row r="33" spans="1:22" ht="15.75" customHeight="1">
      <c r="A33" s="172">
        <f t="shared" si="0"/>
        <v>24</v>
      </c>
      <c r="B33" s="181"/>
      <c r="C33" s="190"/>
      <c r="D33" s="172">
        <f>D32+1</f>
        <v>6</v>
      </c>
      <c r="E33" s="587" t="s">
        <v>121</v>
      </c>
      <c r="F33" s="193"/>
      <c r="G33" s="193"/>
      <c r="H33" s="194">
        <v>1</v>
      </c>
      <c r="I33" s="193"/>
      <c r="J33" s="193"/>
      <c r="K33" s="235">
        <f t="shared" si="7"/>
        <v>1</v>
      </c>
      <c r="L33" s="833">
        <v>1</v>
      </c>
      <c r="M33" s="270"/>
      <c r="N33" s="295"/>
      <c r="O33" s="193"/>
      <c r="P33" s="193"/>
      <c r="Q33" s="235">
        <f t="shared" si="8"/>
        <v>0</v>
      </c>
      <c r="R33" s="833">
        <v>0</v>
      </c>
      <c r="S33" s="270"/>
      <c r="T33" s="293">
        <f t="shared" si="1"/>
        <v>1</v>
      </c>
      <c r="U33" s="293">
        <f t="shared" si="2"/>
        <v>1</v>
      </c>
      <c r="V33" s="293">
        <f t="shared" si="3"/>
        <v>100</v>
      </c>
    </row>
    <row r="34" spans="1:22" ht="15.75" customHeight="1">
      <c r="A34" s="172">
        <f t="shared" si="0"/>
        <v>25</v>
      </c>
      <c r="B34" s="173">
        <v>3</v>
      </c>
      <c r="C34" s="174" t="s">
        <v>129</v>
      </c>
      <c r="D34" s="175"/>
      <c r="E34" s="175"/>
      <c r="F34" s="176"/>
      <c r="G34" s="176"/>
      <c r="H34" s="176">
        <f>H35</f>
        <v>3.1999999999999997</v>
      </c>
      <c r="I34" s="176"/>
      <c r="J34" s="176"/>
      <c r="K34" s="384">
        <f t="shared" si="7"/>
        <v>3.1999999999999997</v>
      </c>
      <c r="L34" s="432">
        <f>+L35</f>
        <v>2.7</v>
      </c>
      <c r="M34" s="298"/>
      <c r="N34" s="312"/>
      <c r="O34" s="176"/>
      <c r="P34" s="176">
        <f>P35</f>
        <v>0</v>
      </c>
      <c r="Q34" s="384">
        <f>SUM(N34:P34)</f>
        <v>0</v>
      </c>
      <c r="R34" s="386">
        <f>+R35</f>
        <v>0</v>
      </c>
      <c r="S34" s="298"/>
      <c r="T34" s="589">
        <f t="shared" si="1"/>
        <v>3.1999999999999997</v>
      </c>
      <c r="U34" s="589">
        <f t="shared" si="2"/>
        <v>2.7</v>
      </c>
      <c r="V34" s="589">
        <f t="shared" si="3"/>
        <v>84.37500000000001</v>
      </c>
    </row>
    <row r="35" spans="1:22" ht="15.75" customHeight="1">
      <c r="A35" s="172">
        <f t="shared" si="0"/>
        <v>26</v>
      </c>
      <c r="B35" s="181"/>
      <c r="C35" s="182" t="s">
        <v>77</v>
      </c>
      <c r="D35" s="585" t="s">
        <v>129</v>
      </c>
      <c r="E35" s="184"/>
      <c r="F35" s="280"/>
      <c r="G35" s="280"/>
      <c r="H35" s="280">
        <f>SUM(H36:H38)</f>
        <v>3.1999999999999997</v>
      </c>
      <c r="I35" s="280"/>
      <c r="J35" s="280"/>
      <c r="K35" s="189">
        <f>SUM(K36:K41)</f>
        <v>3.1999999999999997</v>
      </c>
      <c r="L35" s="590">
        <f>SUM(L36:L38)</f>
        <v>2.7</v>
      </c>
      <c r="M35" s="303"/>
      <c r="N35" s="304"/>
      <c r="O35" s="280"/>
      <c r="P35" s="280">
        <f>SUM(P36:P38)</f>
        <v>0</v>
      </c>
      <c r="Q35" s="189">
        <f>SUM(Q36:Q48)</f>
        <v>0</v>
      </c>
      <c r="R35" s="282">
        <f>SUM(R36:R48)</f>
        <v>0</v>
      </c>
      <c r="S35" s="303"/>
      <c r="T35" s="286">
        <f t="shared" si="1"/>
        <v>3.1999999999999997</v>
      </c>
      <c r="U35" s="286">
        <f t="shared" si="2"/>
        <v>2.7</v>
      </c>
      <c r="V35" s="286">
        <f t="shared" si="3"/>
        <v>84.37500000000001</v>
      </c>
    </row>
    <row r="36" spans="1:22" ht="15.75" customHeight="1">
      <c r="A36" s="172">
        <f t="shared" si="0"/>
        <v>27</v>
      </c>
      <c r="B36" s="200"/>
      <c r="C36" s="190"/>
      <c r="D36" s="191" t="s">
        <v>21</v>
      </c>
      <c r="E36" s="587" t="s">
        <v>130</v>
      </c>
      <c r="F36" s="193"/>
      <c r="G36" s="193"/>
      <c r="H36" s="296">
        <v>2.3</v>
      </c>
      <c r="I36" s="193"/>
      <c r="J36" s="193"/>
      <c r="K36" s="235">
        <f>SUM(F36:J36)</f>
        <v>2.3</v>
      </c>
      <c r="L36" s="431">
        <f>1.3+0.5</f>
        <v>1.8</v>
      </c>
      <c r="M36" s="270"/>
      <c r="N36" s="295"/>
      <c r="O36" s="193"/>
      <c r="P36" s="193"/>
      <c r="Q36" s="235">
        <f>SUM(M36:P36)</f>
        <v>0</v>
      </c>
      <c r="R36" s="833">
        <v>0</v>
      </c>
      <c r="S36" s="270"/>
      <c r="T36" s="293">
        <f t="shared" si="1"/>
        <v>2.3</v>
      </c>
      <c r="U36" s="293">
        <f t="shared" si="2"/>
        <v>1.8</v>
      </c>
      <c r="V36" s="293">
        <f t="shared" si="3"/>
        <v>78.26086956521739</v>
      </c>
    </row>
    <row r="37" spans="1:22" ht="15.75" customHeight="1">
      <c r="A37" s="172">
        <f t="shared" si="0"/>
        <v>28</v>
      </c>
      <c r="B37" s="200"/>
      <c r="C37" s="190"/>
      <c r="D37" s="191" t="s">
        <v>22</v>
      </c>
      <c r="E37" s="587" t="s">
        <v>131</v>
      </c>
      <c r="F37" s="193"/>
      <c r="G37" s="193"/>
      <c r="H37" s="296">
        <v>0.9</v>
      </c>
      <c r="I37" s="193"/>
      <c r="J37" s="193"/>
      <c r="K37" s="235">
        <f>SUM(F37:J37)</f>
        <v>0.9</v>
      </c>
      <c r="L37" s="431">
        <v>0.9</v>
      </c>
      <c r="M37" s="591"/>
      <c r="N37" s="295"/>
      <c r="O37" s="193"/>
      <c r="P37" s="193"/>
      <c r="Q37" s="235">
        <f>SUM(M37:P37)</f>
        <v>0</v>
      </c>
      <c r="R37" s="833">
        <v>0</v>
      </c>
      <c r="S37" s="591"/>
      <c r="T37" s="199">
        <f t="shared" si="1"/>
        <v>0.9</v>
      </c>
      <c r="U37" s="199">
        <f t="shared" si="2"/>
        <v>0.9</v>
      </c>
      <c r="V37" s="199">
        <f t="shared" si="3"/>
        <v>100</v>
      </c>
    </row>
    <row r="38" spans="1:22" ht="15.75" customHeight="1" thickBot="1">
      <c r="A38" s="214">
        <f t="shared" si="0"/>
        <v>29</v>
      </c>
      <c r="B38" s="319"/>
      <c r="C38" s="216"/>
      <c r="D38" s="646" t="s">
        <v>23</v>
      </c>
      <c r="E38" s="647" t="s">
        <v>507</v>
      </c>
      <c r="F38" s="219"/>
      <c r="G38" s="219"/>
      <c r="H38" s="648"/>
      <c r="I38" s="219"/>
      <c r="J38" s="219"/>
      <c r="K38" s="236">
        <f>SUM(F38:J38)</f>
        <v>0</v>
      </c>
      <c r="L38" s="433">
        <v>0</v>
      </c>
      <c r="M38" s="649"/>
      <c r="N38" s="324"/>
      <c r="O38" s="219"/>
      <c r="P38" s="219"/>
      <c r="Q38" s="236">
        <f>SUM(M38:P38)</f>
        <v>0</v>
      </c>
      <c r="R38" s="834">
        <v>0</v>
      </c>
      <c r="S38" s="649"/>
      <c r="T38" s="223">
        <f t="shared" si="1"/>
        <v>0</v>
      </c>
      <c r="U38" s="223">
        <f t="shared" si="2"/>
        <v>0</v>
      </c>
      <c r="V38" s="223">
        <v>0</v>
      </c>
    </row>
    <row r="39" spans="1:20" ht="15">
      <c r="A39" s="330"/>
      <c r="B39" s="21"/>
      <c r="C39" s="22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</row>
    <row r="40" spans="6:20" ht="12.75">
      <c r="F40" s="250"/>
      <c r="G40" s="250"/>
      <c r="H40" s="569"/>
      <c r="I40" s="569"/>
      <c r="J40" s="569"/>
      <c r="K40" s="569"/>
      <c r="L40" s="570"/>
      <c r="M40" s="247"/>
      <c r="N40" s="570"/>
      <c r="O40" s="570"/>
      <c r="P40" s="570"/>
      <c r="Q40" s="570"/>
      <c r="R40" s="570"/>
      <c r="S40" s="247"/>
      <c r="T40" s="570"/>
    </row>
    <row r="41" spans="6:20" ht="12.75">
      <c r="F41" s="250"/>
      <c r="G41" s="250"/>
      <c r="H41" s="250"/>
      <c r="I41" s="250"/>
      <c r="J41" s="250"/>
      <c r="K41" s="250"/>
      <c r="L41" s="250"/>
      <c r="N41" s="250"/>
      <c r="O41" s="250"/>
      <c r="P41" s="250"/>
      <c r="Q41" s="250"/>
      <c r="R41" s="250"/>
      <c r="T41" s="250"/>
    </row>
    <row r="42" spans="6:20" ht="12.75">
      <c r="F42" s="250"/>
      <c r="G42" s="250"/>
      <c r="H42" s="250"/>
      <c r="I42" s="250"/>
      <c r="J42" s="250"/>
      <c r="K42" s="250"/>
      <c r="L42" s="250"/>
      <c r="N42" s="250"/>
      <c r="O42" s="250"/>
      <c r="P42" s="250"/>
      <c r="Q42" s="250"/>
      <c r="R42" s="250"/>
      <c r="T42" s="250"/>
    </row>
    <row r="43" spans="1:20" s="152" customFormat="1" ht="12.75">
      <c r="A43" s="148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N43" s="150"/>
      <c r="O43" s="150"/>
      <c r="P43" s="150"/>
      <c r="Q43" s="150"/>
      <c r="R43" s="150"/>
      <c r="T43" s="150"/>
    </row>
  </sheetData>
  <sheetProtection/>
  <mergeCells count="19">
    <mergeCell ref="N5:R5"/>
    <mergeCell ref="N6:R6"/>
    <mergeCell ref="N7:R7"/>
    <mergeCell ref="V8:V9"/>
    <mergeCell ref="Q8:Q9"/>
    <mergeCell ref="R8:R9"/>
    <mergeCell ref="P8:P9"/>
    <mergeCell ref="O8:O9"/>
    <mergeCell ref="N8:N9"/>
    <mergeCell ref="B6:L6"/>
    <mergeCell ref="A5:L5"/>
    <mergeCell ref="D7:L7"/>
    <mergeCell ref="L8:L9"/>
    <mergeCell ref="F8:F9"/>
    <mergeCell ref="G8:G9"/>
    <mergeCell ref="H8:H9"/>
    <mergeCell ref="I8:I9"/>
    <mergeCell ref="K8:K9"/>
    <mergeCell ref="J8:J9"/>
  </mergeCells>
  <printOptions horizontalCentered="1"/>
  <pageMargins left="0.35433070866141736" right="0.4330708661417323" top="0.7480314960629921" bottom="0.35" header="0.3937007874015748" footer="0.19"/>
  <pageSetup horizontalDpi="600" verticalDpi="600" orientation="landscape" paperSize="9" scale="93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3.8515625" style="148" customWidth="1"/>
    <col min="2" max="2" width="3.7109375" style="149" customWidth="1"/>
    <col min="3" max="3" width="7.28125" style="150" customWidth="1"/>
    <col min="4" max="4" width="2.7109375" style="150" customWidth="1"/>
    <col min="5" max="5" width="38.00390625" style="150" customWidth="1"/>
    <col min="6" max="6" width="4.7109375" style="150" customWidth="1"/>
    <col min="7" max="7" width="4.8515625" style="150" customWidth="1"/>
    <col min="8" max="8" width="7.7109375" style="150" customWidth="1"/>
    <col min="9" max="9" width="4.140625" style="150" customWidth="1"/>
    <col min="10" max="10" width="6.140625" style="150" bestFit="1" customWidth="1"/>
    <col min="11" max="11" width="7.57421875" style="150" customWidth="1"/>
    <col min="12" max="12" width="0.71875" style="152" customWidth="1"/>
    <col min="13" max="13" width="4.421875" style="150" customWidth="1"/>
    <col min="14" max="14" width="4.57421875" style="150" customWidth="1"/>
    <col min="15" max="15" width="4.421875" style="150" customWidth="1"/>
    <col min="16" max="17" width="7.7109375" style="150" customWidth="1"/>
    <col min="18" max="18" width="7.8515625" style="150" customWidth="1"/>
    <col min="19" max="19" width="0.71875" style="152" customWidth="1"/>
    <col min="20" max="20" width="9.57421875" style="150" customWidth="1"/>
    <col min="21" max="16384" width="9.140625" style="150" customWidth="1"/>
  </cols>
  <sheetData>
    <row r="1" spans="11:20" ht="12.75">
      <c r="K1" s="151"/>
      <c r="T1" s="153"/>
    </row>
    <row r="2" spans="11:20" ht="2.25" customHeight="1">
      <c r="K2" s="151"/>
      <c r="T2" s="153"/>
    </row>
    <row r="3" spans="2:20" ht="18.75">
      <c r="B3" s="249" t="s">
        <v>164</v>
      </c>
      <c r="T3" s="153"/>
    </row>
    <row r="4" ht="13.5" thickBot="1"/>
    <row r="5" spans="1:22" ht="21.75" customHeight="1" thickBot="1">
      <c r="A5" s="1135" t="s">
        <v>497</v>
      </c>
      <c r="B5" s="1136"/>
      <c r="C5" s="1136"/>
      <c r="D5" s="1136"/>
      <c r="E5" s="1136"/>
      <c r="F5" s="1136"/>
      <c r="G5" s="1136"/>
      <c r="H5" s="1136"/>
      <c r="I5" s="1136"/>
      <c r="J5" s="1136"/>
      <c r="K5" s="1136"/>
      <c r="L5" s="1136"/>
      <c r="M5" s="1202"/>
      <c r="N5" s="1203"/>
      <c r="O5" s="1203"/>
      <c r="P5" s="1203"/>
      <c r="Q5" s="1203"/>
      <c r="R5" s="1204"/>
      <c r="S5" s="540"/>
      <c r="T5" s="256"/>
      <c r="U5" s="239"/>
      <c r="V5" s="240"/>
    </row>
    <row r="6" spans="1:22" ht="18.75" customHeight="1">
      <c r="A6" s="257"/>
      <c r="B6" s="258"/>
      <c r="C6" s="259"/>
      <c r="D6" s="260"/>
      <c r="E6" s="416"/>
      <c r="F6" s="1143" t="s">
        <v>30</v>
      </c>
      <c r="G6" s="1139"/>
      <c r="H6" s="1139"/>
      <c r="I6" s="1139"/>
      <c r="J6" s="1139"/>
      <c r="K6" s="1140"/>
      <c r="L6" s="652"/>
      <c r="M6" s="1208" t="s">
        <v>29</v>
      </c>
      <c r="N6" s="1129"/>
      <c r="O6" s="1129"/>
      <c r="P6" s="1129"/>
      <c r="Q6" s="1129"/>
      <c r="R6" s="1183"/>
      <c r="S6" s="262"/>
      <c r="T6" s="60" t="s">
        <v>31</v>
      </c>
      <c r="U6" s="60" t="s">
        <v>558</v>
      </c>
      <c r="V6" s="59" t="s">
        <v>558</v>
      </c>
    </row>
    <row r="7" spans="1:22" ht="13.5" thickBot="1">
      <c r="A7" s="161"/>
      <c r="B7" s="147" t="s">
        <v>65</v>
      </c>
      <c r="C7" s="263" t="s">
        <v>27</v>
      </c>
      <c r="D7" s="417"/>
      <c r="E7" s="418"/>
      <c r="F7" s="409" t="s">
        <v>28</v>
      </c>
      <c r="G7" s="265"/>
      <c r="H7" s="265"/>
      <c r="I7" s="265"/>
      <c r="J7" s="265"/>
      <c r="K7" s="266"/>
      <c r="L7" s="31"/>
      <c r="M7" s="1155"/>
      <c r="N7" s="1128"/>
      <c r="O7" s="1128"/>
      <c r="P7" s="1128"/>
      <c r="Q7" s="1128"/>
      <c r="R7" s="1156"/>
      <c r="S7" s="31"/>
      <c r="T7" s="60"/>
      <c r="U7" s="60" t="s">
        <v>559</v>
      </c>
      <c r="V7" s="59" t="s">
        <v>559</v>
      </c>
    </row>
    <row r="8" spans="1:22" ht="12.75">
      <c r="A8" s="165"/>
      <c r="B8" s="145" t="s">
        <v>66</v>
      </c>
      <c r="C8" s="166" t="s">
        <v>64</v>
      </c>
      <c r="D8" s="267"/>
      <c r="E8" s="653" t="s">
        <v>20</v>
      </c>
      <c r="F8" s="1130">
        <v>610</v>
      </c>
      <c r="G8" s="1110">
        <v>620</v>
      </c>
      <c r="H8" s="1110">
        <v>630</v>
      </c>
      <c r="I8" s="1110">
        <v>640</v>
      </c>
      <c r="J8" s="1119" t="s">
        <v>562</v>
      </c>
      <c r="K8" s="1133" t="s">
        <v>558</v>
      </c>
      <c r="L8" s="31"/>
      <c r="M8" s="1142">
        <v>711</v>
      </c>
      <c r="N8" s="1110">
        <v>714</v>
      </c>
      <c r="O8" s="1110">
        <v>716</v>
      </c>
      <c r="P8" s="1107">
        <v>717</v>
      </c>
      <c r="Q8" s="1119" t="s">
        <v>562</v>
      </c>
      <c r="R8" s="1133" t="s">
        <v>558</v>
      </c>
      <c r="S8" s="31"/>
      <c r="T8" s="60" t="s">
        <v>49</v>
      </c>
      <c r="U8" s="60" t="s">
        <v>49</v>
      </c>
      <c r="V8" s="1118" t="s">
        <v>560</v>
      </c>
    </row>
    <row r="9" spans="1:22" ht="13.5" thickBot="1">
      <c r="A9" s="170"/>
      <c r="B9" s="410"/>
      <c r="C9" s="420"/>
      <c r="D9" s="421"/>
      <c r="E9" s="654"/>
      <c r="F9" s="1171"/>
      <c r="G9" s="1163"/>
      <c r="H9" s="1163"/>
      <c r="I9" s="1163"/>
      <c r="J9" s="1161"/>
      <c r="K9" s="1159"/>
      <c r="L9" s="31"/>
      <c r="M9" s="1162"/>
      <c r="N9" s="1163"/>
      <c r="O9" s="1163"/>
      <c r="P9" s="1163"/>
      <c r="Q9" s="1161"/>
      <c r="R9" s="1159"/>
      <c r="S9" s="31"/>
      <c r="T9" s="242">
        <v>2010</v>
      </c>
      <c r="U9" s="242" t="s">
        <v>561</v>
      </c>
      <c r="V9" s="1196"/>
    </row>
    <row r="10" spans="1:22" ht="19.5" customHeight="1" thickBot="1" thickTop="1">
      <c r="A10" s="171">
        <v>1</v>
      </c>
      <c r="B10" s="28" t="s">
        <v>444</v>
      </c>
      <c r="C10" s="11"/>
      <c r="D10" s="406"/>
      <c r="E10" s="655"/>
      <c r="F10" s="656"/>
      <c r="G10" s="656"/>
      <c r="H10" s="656">
        <f>H11</f>
        <v>148.4</v>
      </c>
      <c r="I10" s="656"/>
      <c r="J10" s="274">
        <f>SUM(F10:I10)</f>
        <v>148.4</v>
      </c>
      <c r="K10" s="275">
        <f>K11</f>
        <v>128.1</v>
      </c>
      <c r="L10" s="658">
        <f>L11</f>
        <v>0</v>
      </c>
      <c r="M10" s="659"/>
      <c r="N10" s="656"/>
      <c r="O10" s="656"/>
      <c r="P10" s="656">
        <f>P11</f>
        <v>1147.8999999999999</v>
      </c>
      <c r="Q10" s="274">
        <f>SUM(M10:P10)</f>
        <v>1147.8999999999999</v>
      </c>
      <c r="R10" s="275">
        <f>R11</f>
        <v>555.1999999999999</v>
      </c>
      <c r="S10" s="660">
        <f>S11</f>
        <v>0</v>
      </c>
      <c r="T10" s="661">
        <f>+J10+Q10</f>
        <v>1296.3</v>
      </c>
      <c r="U10" s="657">
        <f>+K10+R10</f>
        <v>683.3</v>
      </c>
      <c r="V10" s="657">
        <f>+U10/T10*100</f>
        <v>52.71156368124662</v>
      </c>
    </row>
    <row r="11" spans="1:22" ht="19.5" customHeight="1" thickTop="1">
      <c r="A11" s="172">
        <f aca="true" t="shared" si="0" ref="A11:A19">A10+1</f>
        <v>2</v>
      </c>
      <c r="B11" s="662">
        <v>1</v>
      </c>
      <c r="C11" s="663" t="s">
        <v>440</v>
      </c>
      <c r="D11" s="486"/>
      <c r="E11" s="381"/>
      <c r="F11" s="385"/>
      <c r="G11" s="385"/>
      <c r="H11" s="385">
        <f>H12</f>
        <v>148.4</v>
      </c>
      <c r="I11" s="385"/>
      <c r="J11" s="384">
        <f>SUM(F11:I11)</f>
        <v>148.4</v>
      </c>
      <c r="K11" s="386">
        <f>+K12</f>
        <v>128.1</v>
      </c>
      <c r="L11" s="479">
        <f>L12</f>
        <v>0</v>
      </c>
      <c r="M11" s="664"/>
      <c r="N11" s="385"/>
      <c r="O11" s="385"/>
      <c r="P11" s="385">
        <f>P12</f>
        <v>1147.8999999999999</v>
      </c>
      <c r="Q11" s="384">
        <f>SUM(M11:P11)</f>
        <v>1147.8999999999999</v>
      </c>
      <c r="R11" s="386">
        <f>+R12</f>
        <v>555.1999999999999</v>
      </c>
      <c r="S11" s="298"/>
      <c r="T11" s="384">
        <f aca="true" t="shared" si="1" ref="T11:T20">+J11+Q11</f>
        <v>1296.3</v>
      </c>
      <c r="U11" s="386">
        <f aca="true" t="shared" si="2" ref="U11:U20">+K11+R11</f>
        <v>683.3</v>
      </c>
      <c r="V11" s="386">
        <f aca="true" t="shared" si="3" ref="V11:V20">+U11/T11*100</f>
        <v>52.71156368124662</v>
      </c>
    </row>
    <row r="12" spans="1:22" ht="19.5" customHeight="1">
      <c r="A12" s="172">
        <f t="shared" si="0"/>
        <v>3</v>
      </c>
      <c r="B12" s="181"/>
      <c r="C12" s="670" t="s">
        <v>108</v>
      </c>
      <c r="D12" s="183" t="s">
        <v>110</v>
      </c>
      <c r="E12" s="184"/>
      <c r="F12" s="280"/>
      <c r="G12" s="280"/>
      <c r="H12" s="280">
        <f>SUM(H13:H20)</f>
        <v>148.4</v>
      </c>
      <c r="I12" s="280"/>
      <c r="J12" s="189">
        <f>SUM(J13:J20)</f>
        <v>148.4</v>
      </c>
      <c r="K12" s="282">
        <f>SUM(K13:K20)</f>
        <v>128.1</v>
      </c>
      <c r="L12" s="303"/>
      <c r="M12" s="304"/>
      <c r="N12" s="665"/>
      <c r="O12" s="665"/>
      <c r="P12" s="665">
        <f>SUM(P13:P20)</f>
        <v>1147.8999999999999</v>
      </c>
      <c r="Q12" s="189">
        <f>SUM(Q13:Q20)</f>
        <v>1147.8999999999999</v>
      </c>
      <c r="R12" s="282">
        <f>SUM(R13:R20)</f>
        <v>555.1999999999999</v>
      </c>
      <c r="S12" s="303"/>
      <c r="T12" s="189">
        <f t="shared" si="1"/>
        <v>1296.3</v>
      </c>
      <c r="U12" s="282">
        <f t="shared" si="2"/>
        <v>683.3</v>
      </c>
      <c r="V12" s="282">
        <f t="shared" si="3"/>
        <v>52.71156368124662</v>
      </c>
    </row>
    <row r="13" spans="1:22" s="211" customFormat="1" ht="19.5" customHeight="1">
      <c r="A13" s="172">
        <f t="shared" si="0"/>
        <v>4</v>
      </c>
      <c r="B13" s="181"/>
      <c r="C13" s="376"/>
      <c r="D13" s="191" t="s">
        <v>21</v>
      </c>
      <c r="E13" s="192" t="s">
        <v>165</v>
      </c>
      <c r="F13" s="193"/>
      <c r="G13" s="193"/>
      <c r="H13" s="193"/>
      <c r="I13" s="193"/>
      <c r="J13" s="235">
        <f>SUM(E13:I13)</f>
        <v>0</v>
      </c>
      <c r="K13" s="833">
        <v>0</v>
      </c>
      <c r="L13" s="270"/>
      <c r="M13" s="295"/>
      <c r="N13" s="193"/>
      <c r="O13" s="193"/>
      <c r="P13" s="194">
        <v>238.1</v>
      </c>
      <c r="Q13" s="235">
        <f>SUM(L13:P13)</f>
        <v>238.1</v>
      </c>
      <c r="R13" s="880">
        <v>62.7</v>
      </c>
      <c r="S13" s="270"/>
      <c r="T13" s="199">
        <f t="shared" si="1"/>
        <v>238.1</v>
      </c>
      <c r="U13" s="351">
        <f t="shared" si="2"/>
        <v>62.7</v>
      </c>
      <c r="V13" s="351">
        <f t="shared" si="3"/>
        <v>26.33347333053339</v>
      </c>
    </row>
    <row r="14" spans="1:22" s="211" customFormat="1" ht="19.5" customHeight="1">
      <c r="A14" s="172">
        <f>A13+1</f>
        <v>5</v>
      </c>
      <c r="B14" s="181"/>
      <c r="C14" s="376"/>
      <c r="D14" s="672" t="s">
        <v>23</v>
      </c>
      <c r="E14" s="548" t="s">
        <v>571</v>
      </c>
      <c r="F14" s="290"/>
      <c r="G14" s="290"/>
      <c r="H14" s="666">
        <v>10.8</v>
      </c>
      <c r="I14" s="290"/>
      <c r="J14" s="235">
        <f aca="true" t="shared" si="4" ref="J14:J20">SUM(E14:I14)</f>
        <v>10.8</v>
      </c>
      <c r="K14" s="833">
        <f>8.5+2.4</f>
        <v>10.9</v>
      </c>
      <c r="L14" s="270"/>
      <c r="M14" s="289"/>
      <c r="N14" s="290"/>
      <c r="O14" s="290"/>
      <c r="P14" s="666"/>
      <c r="Q14" s="235">
        <f aca="true" t="shared" si="5" ref="Q14:Q20">SUM(L14:P14)</f>
        <v>0</v>
      </c>
      <c r="R14" s="880">
        <v>0</v>
      </c>
      <c r="S14" s="270"/>
      <c r="T14" s="293">
        <f t="shared" si="1"/>
        <v>10.8</v>
      </c>
      <c r="U14" s="667">
        <f t="shared" si="2"/>
        <v>10.9</v>
      </c>
      <c r="V14" s="667">
        <f t="shared" si="3"/>
        <v>100.92592592592592</v>
      </c>
    </row>
    <row r="15" spans="1:24" s="211" customFormat="1" ht="19.5" customHeight="1">
      <c r="A15" s="172">
        <f t="shared" si="0"/>
        <v>6</v>
      </c>
      <c r="B15" s="181"/>
      <c r="C15" s="376"/>
      <c r="D15" s="868" t="s">
        <v>24</v>
      </c>
      <c r="E15" s="548" t="s">
        <v>527</v>
      </c>
      <c r="F15" s="290"/>
      <c r="G15" s="290"/>
      <c r="H15" s="666">
        <v>128</v>
      </c>
      <c r="I15" s="290"/>
      <c r="J15" s="235">
        <f t="shared" si="4"/>
        <v>128</v>
      </c>
      <c r="K15" s="833">
        <f>15.7+20+-1.1+38+33.6</f>
        <v>106.19999999999999</v>
      </c>
      <c r="L15" s="270"/>
      <c r="M15" s="962"/>
      <c r="N15" s="290"/>
      <c r="O15" s="290"/>
      <c r="P15" s="666"/>
      <c r="Q15" s="235">
        <f t="shared" si="5"/>
        <v>0</v>
      </c>
      <c r="R15" s="880">
        <v>0</v>
      </c>
      <c r="S15" s="270"/>
      <c r="T15" s="293">
        <f t="shared" si="1"/>
        <v>128</v>
      </c>
      <c r="U15" s="667">
        <f t="shared" si="2"/>
        <v>106.19999999999999</v>
      </c>
      <c r="V15" s="667">
        <f t="shared" si="3"/>
        <v>82.96874999999999</v>
      </c>
      <c r="X15" s="963"/>
    </row>
    <row r="16" spans="1:22" s="211" customFormat="1" ht="19.5" customHeight="1">
      <c r="A16" s="172">
        <f t="shared" si="0"/>
        <v>7</v>
      </c>
      <c r="B16" s="181"/>
      <c r="C16" s="376"/>
      <c r="D16" s="672" t="s">
        <v>568</v>
      </c>
      <c r="E16" s="548" t="s">
        <v>508</v>
      </c>
      <c r="F16" s="290"/>
      <c r="G16" s="290"/>
      <c r="H16" s="666"/>
      <c r="I16" s="290"/>
      <c r="J16" s="235">
        <f t="shared" si="4"/>
        <v>0</v>
      </c>
      <c r="K16" s="833">
        <v>0</v>
      </c>
      <c r="L16" s="270"/>
      <c r="M16" s="289"/>
      <c r="N16" s="290"/>
      <c r="O16" s="290"/>
      <c r="P16" s="666">
        <v>337.9</v>
      </c>
      <c r="Q16" s="235">
        <f t="shared" si="5"/>
        <v>337.9</v>
      </c>
      <c r="R16" s="880">
        <v>0</v>
      </c>
      <c r="S16" s="270"/>
      <c r="T16" s="293">
        <f t="shared" si="1"/>
        <v>337.9</v>
      </c>
      <c r="U16" s="667">
        <f t="shared" si="2"/>
        <v>0</v>
      </c>
      <c r="V16" s="667">
        <f t="shared" si="3"/>
        <v>0</v>
      </c>
    </row>
    <row r="17" spans="1:22" s="211" customFormat="1" ht="19.5" customHeight="1">
      <c r="A17" s="172">
        <v>8</v>
      </c>
      <c r="B17" s="181"/>
      <c r="C17" s="376"/>
      <c r="D17" s="868" t="s">
        <v>569</v>
      </c>
      <c r="E17" s="548" t="s">
        <v>551</v>
      </c>
      <c r="F17" s="290"/>
      <c r="G17" s="290"/>
      <c r="H17" s="666"/>
      <c r="I17" s="290"/>
      <c r="J17" s="235">
        <f t="shared" si="4"/>
        <v>0</v>
      </c>
      <c r="K17" s="833">
        <v>0</v>
      </c>
      <c r="L17" s="270"/>
      <c r="M17" s="289"/>
      <c r="N17" s="290"/>
      <c r="O17" s="290"/>
      <c r="P17" s="666">
        <v>9.3</v>
      </c>
      <c r="Q17" s="235">
        <f t="shared" si="5"/>
        <v>9.3</v>
      </c>
      <c r="R17" s="880">
        <v>2.6</v>
      </c>
      <c r="S17" s="270"/>
      <c r="T17" s="293">
        <f t="shared" si="1"/>
        <v>9.3</v>
      </c>
      <c r="U17" s="667">
        <f t="shared" si="2"/>
        <v>2.6</v>
      </c>
      <c r="V17" s="667">
        <f t="shared" si="3"/>
        <v>27.956989247311824</v>
      </c>
    </row>
    <row r="18" spans="1:22" s="211" customFormat="1" ht="19.5" customHeight="1">
      <c r="A18" s="172">
        <v>9</v>
      </c>
      <c r="B18" s="181"/>
      <c r="C18" s="376"/>
      <c r="D18" s="672" t="s">
        <v>542</v>
      </c>
      <c r="E18" s="548" t="s">
        <v>510</v>
      </c>
      <c r="F18" s="290"/>
      <c r="G18" s="290"/>
      <c r="H18" s="666"/>
      <c r="I18" s="290"/>
      <c r="J18" s="235">
        <f t="shared" si="4"/>
        <v>0</v>
      </c>
      <c r="K18" s="833">
        <v>0</v>
      </c>
      <c r="L18" s="270"/>
      <c r="M18" s="289"/>
      <c r="N18" s="290"/>
      <c r="O18" s="290"/>
      <c r="P18" s="666">
        <v>42.3</v>
      </c>
      <c r="Q18" s="235">
        <f t="shared" si="5"/>
        <v>42.3</v>
      </c>
      <c r="R18" s="880">
        <v>0</v>
      </c>
      <c r="S18" s="270"/>
      <c r="T18" s="293">
        <f t="shared" si="1"/>
        <v>42.3</v>
      </c>
      <c r="U18" s="667">
        <f t="shared" si="2"/>
        <v>0</v>
      </c>
      <c r="V18" s="667">
        <f t="shared" si="3"/>
        <v>0</v>
      </c>
    </row>
    <row r="19" spans="1:22" s="211" customFormat="1" ht="19.5" customHeight="1">
      <c r="A19" s="172">
        <f t="shared" si="0"/>
        <v>10</v>
      </c>
      <c r="B19" s="181"/>
      <c r="C19" s="376"/>
      <c r="D19" s="868" t="s">
        <v>570</v>
      </c>
      <c r="E19" s="548" t="s">
        <v>509</v>
      </c>
      <c r="F19" s="290"/>
      <c r="G19" s="290"/>
      <c r="H19" s="666">
        <v>0.7</v>
      </c>
      <c r="I19" s="290"/>
      <c r="J19" s="235">
        <f t="shared" si="4"/>
        <v>0.7</v>
      </c>
      <c r="K19" s="833">
        <v>0</v>
      </c>
      <c r="L19" s="270"/>
      <c r="M19" s="289"/>
      <c r="N19" s="290"/>
      <c r="O19" s="290"/>
      <c r="P19" s="666">
        <v>520.3</v>
      </c>
      <c r="Q19" s="235">
        <f t="shared" si="5"/>
        <v>520.3</v>
      </c>
      <c r="R19" s="880">
        <f>176+313.9</f>
        <v>489.9</v>
      </c>
      <c r="S19" s="270"/>
      <c r="T19" s="293">
        <f t="shared" si="1"/>
        <v>521</v>
      </c>
      <c r="U19" s="667">
        <f t="shared" si="2"/>
        <v>489.9</v>
      </c>
      <c r="V19" s="667">
        <f t="shared" si="3"/>
        <v>94.03071017274472</v>
      </c>
    </row>
    <row r="20" spans="1:22" s="211" customFormat="1" ht="19.5" customHeight="1" thickBot="1">
      <c r="A20" s="214">
        <v>12</v>
      </c>
      <c r="B20" s="668"/>
      <c r="C20" s="671"/>
      <c r="D20" s="401">
        <v>10</v>
      </c>
      <c r="E20" s="669" t="s">
        <v>360</v>
      </c>
      <c r="F20" s="219"/>
      <c r="G20" s="219"/>
      <c r="H20" s="477">
        <v>8.9</v>
      </c>
      <c r="I20" s="219"/>
      <c r="J20" s="236">
        <f t="shared" si="4"/>
        <v>8.9</v>
      </c>
      <c r="K20" s="834">
        <v>11</v>
      </c>
      <c r="L20" s="323"/>
      <c r="M20" s="324"/>
      <c r="N20" s="219"/>
      <c r="O20" s="219"/>
      <c r="P20" s="219"/>
      <c r="Q20" s="236">
        <f t="shared" si="5"/>
        <v>0</v>
      </c>
      <c r="R20" s="834">
        <v>0</v>
      </c>
      <c r="S20" s="323"/>
      <c r="T20" s="223">
        <f t="shared" si="1"/>
        <v>8.9</v>
      </c>
      <c r="U20" s="405">
        <f t="shared" si="2"/>
        <v>11</v>
      </c>
      <c r="V20" s="405">
        <f t="shared" si="3"/>
        <v>123.59550561797752</v>
      </c>
    </row>
  </sheetData>
  <sheetProtection/>
  <mergeCells count="18">
    <mergeCell ref="O8:O9"/>
    <mergeCell ref="R8:R9"/>
    <mergeCell ref="P8:P9"/>
    <mergeCell ref="N8:N9"/>
    <mergeCell ref="A5:L5"/>
    <mergeCell ref="M5:R5"/>
    <mergeCell ref="M6:R6"/>
    <mergeCell ref="M7:R7"/>
    <mergeCell ref="V8:V9"/>
    <mergeCell ref="K8:K9"/>
    <mergeCell ref="M8:M9"/>
    <mergeCell ref="F6:K6"/>
    <mergeCell ref="F8:F9"/>
    <mergeCell ref="G8:G9"/>
    <mergeCell ref="J8:J9"/>
    <mergeCell ref="Q8:Q9"/>
    <mergeCell ref="H8:H9"/>
    <mergeCell ref="I8:I9"/>
  </mergeCells>
  <printOptions horizontalCentered="1"/>
  <pageMargins left="0.26" right="0.15748031496062992" top="1.35" bottom="0.984251968503937" header="0.68" footer="0.5118110236220472"/>
  <pageSetup horizontalDpi="600" verticalDpi="600" orientation="landscape" paperSize="9" scale="89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9">
      <selection activeCell="H29" sqref="H29"/>
    </sheetView>
  </sheetViews>
  <sheetFormatPr defaultColWidth="9.140625" defaultRowHeight="12.75"/>
  <cols>
    <col min="1" max="1" width="3.8515625" style="148" customWidth="1"/>
    <col min="2" max="2" width="3.7109375" style="149" customWidth="1"/>
    <col min="3" max="3" width="7.28125" style="150" customWidth="1"/>
    <col min="4" max="4" width="2.28125" style="150" customWidth="1"/>
    <col min="5" max="5" width="38.8515625" style="150" customWidth="1"/>
    <col min="6" max="6" width="7.28125" style="150" customWidth="1"/>
    <col min="7" max="7" width="6.8515625" style="150" customWidth="1"/>
    <col min="8" max="8" width="7.57421875" style="150" customWidth="1"/>
    <col min="9" max="10" width="6.28125" style="150" customWidth="1"/>
    <col min="11" max="11" width="8.00390625" style="150" bestFit="1" customWidth="1"/>
    <col min="12" max="12" width="0.85546875" style="152" customWidth="1"/>
    <col min="13" max="13" width="4.140625" style="150" customWidth="1"/>
    <col min="14" max="14" width="4.57421875" style="150" customWidth="1"/>
    <col min="15" max="16" width="4.00390625" style="150" customWidth="1"/>
    <col min="17" max="18" width="7.28125" style="150" customWidth="1"/>
    <col min="19" max="19" width="0.85546875" style="152" customWidth="1"/>
    <col min="20" max="20" width="9.7109375" style="150" customWidth="1"/>
    <col min="21" max="24" width="9.140625" style="250" customWidth="1"/>
    <col min="25" max="16384" width="9.140625" style="150" customWidth="1"/>
  </cols>
  <sheetData>
    <row r="1" spans="11:20" ht="12.75">
      <c r="K1" s="151"/>
      <c r="R1" s="153"/>
      <c r="T1" s="153"/>
    </row>
    <row r="2" spans="2:20" ht="18.75">
      <c r="B2" s="249" t="s">
        <v>166</v>
      </c>
      <c r="K2" s="579"/>
      <c r="T2" s="153"/>
    </row>
    <row r="3" ht="8.25" customHeight="1" thickBot="1"/>
    <row r="4" spans="1:22" ht="18" customHeight="1" thickBot="1">
      <c r="A4" s="1167" t="s">
        <v>497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78"/>
      <c r="N4" s="1178"/>
      <c r="O4" s="1178"/>
      <c r="P4" s="1178"/>
      <c r="Q4" s="1178"/>
      <c r="R4" s="1209"/>
      <c r="S4" s="540"/>
      <c r="T4" s="256"/>
      <c r="U4" s="239"/>
      <c r="V4" s="240"/>
    </row>
    <row r="5" spans="1:22" ht="18.75" customHeight="1">
      <c r="A5" s="1138" t="s">
        <v>30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1"/>
      <c r="L5" s="262"/>
      <c r="M5" s="1210" t="s">
        <v>29</v>
      </c>
      <c r="N5" s="1211"/>
      <c r="O5" s="1211"/>
      <c r="P5" s="1211"/>
      <c r="Q5" s="1211"/>
      <c r="R5" s="1212"/>
      <c r="S5" s="262"/>
      <c r="T5" s="60" t="s">
        <v>31</v>
      </c>
      <c r="U5" s="60" t="s">
        <v>558</v>
      </c>
      <c r="V5" s="59" t="s">
        <v>558</v>
      </c>
    </row>
    <row r="6" spans="1:22" ht="13.5" thickBot="1">
      <c r="A6" s="161"/>
      <c r="B6" s="147" t="s">
        <v>65</v>
      </c>
      <c r="C6" s="263" t="s">
        <v>27</v>
      </c>
      <c r="D6" s="167"/>
      <c r="E6" s="707"/>
      <c r="F6" s="265" t="s">
        <v>28</v>
      </c>
      <c r="G6" s="265"/>
      <c r="H6" s="265"/>
      <c r="I6" s="265"/>
      <c r="J6" s="265"/>
      <c r="K6" s="266"/>
      <c r="L6" s="31"/>
      <c r="M6" s="1155"/>
      <c r="N6" s="1128"/>
      <c r="O6" s="1128"/>
      <c r="P6" s="1128"/>
      <c r="Q6" s="1128"/>
      <c r="R6" s="1156"/>
      <c r="S6" s="31"/>
      <c r="T6" s="60"/>
      <c r="U6" s="60" t="s">
        <v>559</v>
      </c>
      <c r="V6" s="59" t="s">
        <v>559</v>
      </c>
    </row>
    <row r="7" spans="1:22" ht="12.75">
      <c r="A7" s="165"/>
      <c r="B7" s="145" t="s">
        <v>66</v>
      </c>
      <c r="C7" s="166" t="s">
        <v>64</v>
      </c>
      <c r="D7" s="708"/>
      <c r="E7" s="544" t="s">
        <v>20</v>
      </c>
      <c r="F7" s="1106">
        <v>610</v>
      </c>
      <c r="G7" s="1106">
        <v>620</v>
      </c>
      <c r="H7" s="1106">
        <v>630</v>
      </c>
      <c r="I7" s="1106">
        <v>640</v>
      </c>
      <c r="J7" s="1119" t="s">
        <v>562</v>
      </c>
      <c r="K7" s="1133" t="s">
        <v>558</v>
      </c>
      <c r="L7" s="31"/>
      <c r="M7" s="1142">
        <v>713</v>
      </c>
      <c r="N7" s="1110">
        <v>714</v>
      </c>
      <c r="O7" s="1110">
        <v>716</v>
      </c>
      <c r="P7" s="1107">
        <v>717</v>
      </c>
      <c r="Q7" s="1119" t="s">
        <v>562</v>
      </c>
      <c r="R7" s="1133" t="s">
        <v>558</v>
      </c>
      <c r="S7" s="31"/>
      <c r="T7" s="60" t="s">
        <v>49</v>
      </c>
      <c r="U7" s="60" t="s">
        <v>49</v>
      </c>
      <c r="V7" s="1118" t="s">
        <v>560</v>
      </c>
    </row>
    <row r="8" spans="1:22" ht="13.5" thickBot="1">
      <c r="A8" s="165"/>
      <c r="B8" s="145"/>
      <c r="C8" s="166"/>
      <c r="D8" s="708"/>
      <c r="E8" s="653"/>
      <c r="F8" s="1107"/>
      <c r="G8" s="1107"/>
      <c r="H8" s="1107"/>
      <c r="I8" s="1107"/>
      <c r="J8" s="1120"/>
      <c r="K8" s="1134"/>
      <c r="L8" s="31"/>
      <c r="M8" s="1142"/>
      <c r="N8" s="1110"/>
      <c r="O8" s="1110"/>
      <c r="P8" s="1110"/>
      <c r="Q8" s="1120"/>
      <c r="R8" s="1134"/>
      <c r="S8" s="31"/>
      <c r="T8" s="60">
        <v>2010</v>
      </c>
      <c r="U8" s="60" t="s">
        <v>561</v>
      </c>
      <c r="V8" s="1118"/>
    </row>
    <row r="9" spans="1:22" ht="15" customHeight="1" thickBot="1" thickTop="1">
      <c r="A9" s="582">
        <v>1</v>
      </c>
      <c r="B9" s="28" t="s">
        <v>445</v>
      </c>
      <c r="C9" s="11"/>
      <c r="D9" s="406"/>
      <c r="E9" s="655"/>
      <c r="F9" s="407">
        <f>F11+F16+F21+F23+F32</f>
        <v>82.30000000000001</v>
      </c>
      <c r="G9" s="407">
        <f>G11+G16+G21+G23+G32</f>
        <v>28.7</v>
      </c>
      <c r="H9" s="407">
        <f>H11+H16+H21+H23+H32</f>
        <v>25.6</v>
      </c>
      <c r="I9" s="407">
        <f>I11+I16+I21+I23+I32</f>
        <v>146.6</v>
      </c>
      <c r="J9" s="274">
        <f>SUM(F9:I9)</f>
        <v>283.20000000000005</v>
      </c>
      <c r="K9" s="736">
        <f>K11+K16+K21+K23+K32</f>
        <v>289.29999999999995</v>
      </c>
      <c r="L9" s="272" t="e">
        <f>L11+L16+L21+L23+#REF!+L32</f>
        <v>#REF!</v>
      </c>
      <c r="M9" s="272"/>
      <c r="N9" s="272"/>
      <c r="O9" s="272"/>
      <c r="P9" s="272"/>
      <c r="Q9" s="274">
        <f>SUM(M9:P9)</f>
        <v>0</v>
      </c>
      <c r="R9" s="736">
        <f>R11+R16+R21+R23+R32</f>
        <v>0</v>
      </c>
      <c r="S9" s="273" t="e">
        <f>S11+S16+#REF!+S21+S23+#REF!+S32+#REF!+#REF!+#REF!+#REF!</f>
        <v>#REF!</v>
      </c>
      <c r="T9" s="271">
        <f>+J9+Q9</f>
        <v>283.20000000000005</v>
      </c>
      <c r="U9" s="407">
        <f>+K9+R9</f>
        <v>289.29999999999995</v>
      </c>
      <c r="V9" s="1053">
        <f>+U9/T9*100</f>
        <v>102.15395480225986</v>
      </c>
    </row>
    <row r="10" spans="1:22" ht="15" customHeight="1" thickTop="1">
      <c r="A10" s="171">
        <f aca="true" t="shared" si="0" ref="A10:A36">A9+1</f>
        <v>2</v>
      </c>
      <c r="B10" s="662">
        <v>1</v>
      </c>
      <c r="C10" s="663" t="s">
        <v>79</v>
      </c>
      <c r="D10" s="709"/>
      <c r="E10" s="381"/>
      <c r="F10" s="690"/>
      <c r="G10" s="690"/>
      <c r="H10" s="690"/>
      <c r="I10" s="691"/>
      <c r="J10" s="710"/>
      <c r="K10" s="695"/>
      <c r="L10" s="711"/>
      <c r="M10" s="690"/>
      <c r="N10" s="690"/>
      <c r="O10" s="690"/>
      <c r="P10" s="690"/>
      <c r="Q10" s="710"/>
      <c r="R10" s="695"/>
      <c r="S10" s="711"/>
      <c r="T10" s="710"/>
      <c r="U10" s="710"/>
      <c r="V10" s="710"/>
    </row>
    <row r="11" spans="1:22" ht="15" customHeight="1">
      <c r="A11" s="172">
        <f t="shared" si="0"/>
        <v>3</v>
      </c>
      <c r="B11" s="173"/>
      <c r="C11" s="174" t="s">
        <v>80</v>
      </c>
      <c r="D11" s="276"/>
      <c r="E11" s="175"/>
      <c r="F11" s="176"/>
      <c r="G11" s="176"/>
      <c r="H11" s="176">
        <f>H12</f>
        <v>6</v>
      </c>
      <c r="I11" s="176">
        <f>I12</f>
        <v>145</v>
      </c>
      <c r="J11" s="384">
        <f>SUM(F11:I11)</f>
        <v>151</v>
      </c>
      <c r="K11" s="386">
        <f>+K12</f>
        <v>159.29999999999998</v>
      </c>
      <c r="L11" s="298"/>
      <c r="M11" s="176"/>
      <c r="N11" s="176"/>
      <c r="O11" s="176"/>
      <c r="P11" s="176"/>
      <c r="Q11" s="384">
        <f>SUM(M11:P11)</f>
        <v>0</v>
      </c>
      <c r="R11" s="386">
        <f>+R12</f>
        <v>0</v>
      </c>
      <c r="S11" s="298"/>
      <c r="T11" s="384">
        <f aca="true" t="shared" si="1" ref="T11:T36">+J11+Q11</f>
        <v>151</v>
      </c>
      <c r="U11" s="384">
        <f aca="true" t="shared" si="2" ref="U11:U36">+K11+R11</f>
        <v>159.29999999999998</v>
      </c>
      <c r="V11" s="1050">
        <f aca="true" t="shared" si="3" ref="V11:V36">+U11/T11*100</f>
        <v>105.49668874172184</v>
      </c>
    </row>
    <row r="12" spans="1:22" ht="15" customHeight="1">
      <c r="A12" s="172">
        <f t="shared" si="0"/>
        <v>4</v>
      </c>
      <c r="B12" s="181"/>
      <c r="C12" s="182" t="s">
        <v>299</v>
      </c>
      <c r="D12" s="585" t="s">
        <v>7</v>
      </c>
      <c r="E12" s="184"/>
      <c r="F12" s="280"/>
      <c r="G12" s="280"/>
      <c r="H12" s="280">
        <f>SUM(H13:H15)</f>
        <v>6</v>
      </c>
      <c r="I12" s="280">
        <f>SUM(I13:I15)</f>
        <v>145</v>
      </c>
      <c r="J12" s="189">
        <f>SUM(J13:J15)</f>
        <v>151</v>
      </c>
      <c r="K12" s="282">
        <f>SUM(K13:K15)</f>
        <v>159.29999999999998</v>
      </c>
      <c r="L12" s="303"/>
      <c r="M12" s="280"/>
      <c r="N12" s="280"/>
      <c r="O12" s="280"/>
      <c r="P12" s="280"/>
      <c r="Q12" s="189">
        <f>SUM(Q13:Q15)</f>
        <v>0</v>
      </c>
      <c r="R12" s="282">
        <f>SUM(R13:R15)</f>
        <v>0</v>
      </c>
      <c r="S12" s="303"/>
      <c r="T12" s="189">
        <f t="shared" si="1"/>
        <v>151</v>
      </c>
      <c r="U12" s="189">
        <f t="shared" si="2"/>
        <v>159.29999999999998</v>
      </c>
      <c r="V12" s="1051">
        <f t="shared" si="3"/>
        <v>105.49668874172184</v>
      </c>
    </row>
    <row r="13" spans="1:22" ht="15" customHeight="1">
      <c r="A13" s="172">
        <f t="shared" si="0"/>
        <v>5</v>
      </c>
      <c r="B13" s="200"/>
      <c r="C13" s="190"/>
      <c r="D13" s="208">
        <v>1</v>
      </c>
      <c r="E13" s="712" t="s">
        <v>174</v>
      </c>
      <c r="F13" s="370"/>
      <c r="G13" s="370"/>
      <c r="H13" s="370"/>
      <c r="I13" s="370">
        <v>5</v>
      </c>
      <c r="J13" s="235">
        <f>SUM(F13:I13)</f>
        <v>5</v>
      </c>
      <c r="K13" s="833">
        <v>1.5</v>
      </c>
      <c r="L13" s="855"/>
      <c r="M13" s="845"/>
      <c r="N13" s="845"/>
      <c r="O13" s="845"/>
      <c r="P13" s="845"/>
      <c r="Q13" s="842">
        <f>SUM(M13:P13)</f>
        <v>0</v>
      </c>
      <c r="R13" s="833">
        <v>0</v>
      </c>
      <c r="S13" s="270"/>
      <c r="T13" s="713">
        <f t="shared" si="1"/>
        <v>5</v>
      </c>
      <c r="U13" s="713">
        <f t="shared" si="2"/>
        <v>1.5</v>
      </c>
      <c r="V13" s="1052">
        <f t="shared" si="3"/>
        <v>30</v>
      </c>
    </row>
    <row r="14" spans="1:22" ht="15" customHeight="1">
      <c r="A14" s="172">
        <f t="shared" si="0"/>
        <v>6</v>
      </c>
      <c r="B14" s="200"/>
      <c r="C14" s="190"/>
      <c r="D14" s="212">
        <f>D13+1</f>
        <v>2</v>
      </c>
      <c r="E14" s="714" t="s">
        <v>175</v>
      </c>
      <c r="F14" s="715"/>
      <c r="G14" s="716"/>
      <c r="H14" s="370">
        <v>6</v>
      </c>
      <c r="I14" s="370"/>
      <c r="J14" s="235">
        <f>SUM(F14:I14)</f>
        <v>6</v>
      </c>
      <c r="K14" s="833">
        <v>6.1</v>
      </c>
      <c r="L14" s="855"/>
      <c r="M14" s="845"/>
      <c r="N14" s="845"/>
      <c r="O14" s="845"/>
      <c r="P14" s="845"/>
      <c r="Q14" s="842">
        <f>SUM(M14:P14)</f>
        <v>0</v>
      </c>
      <c r="R14" s="833">
        <v>0</v>
      </c>
      <c r="S14" s="270"/>
      <c r="T14" s="713">
        <f t="shared" si="1"/>
        <v>6</v>
      </c>
      <c r="U14" s="713">
        <f t="shared" si="2"/>
        <v>6.1</v>
      </c>
      <c r="V14" s="1052">
        <f t="shared" si="3"/>
        <v>101.66666666666666</v>
      </c>
    </row>
    <row r="15" spans="1:22" ht="15" customHeight="1">
      <c r="A15" s="172">
        <f t="shared" si="0"/>
        <v>7</v>
      </c>
      <c r="B15" s="200"/>
      <c r="C15" s="190"/>
      <c r="D15" s="212">
        <f>D14+1</f>
        <v>3</v>
      </c>
      <c r="E15" s="714" t="s">
        <v>176</v>
      </c>
      <c r="F15" s="716"/>
      <c r="G15" s="716"/>
      <c r="H15" s="717"/>
      <c r="I15" s="370">
        <v>140</v>
      </c>
      <c r="J15" s="235">
        <f>SUM(F15:I15)</f>
        <v>140</v>
      </c>
      <c r="K15" s="833">
        <v>151.7</v>
      </c>
      <c r="L15" s="855"/>
      <c r="M15" s="845"/>
      <c r="N15" s="845"/>
      <c r="O15" s="845"/>
      <c r="P15" s="845"/>
      <c r="Q15" s="842">
        <f>SUM(M15:P15)</f>
        <v>0</v>
      </c>
      <c r="R15" s="833">
        <v>0</v>
      </c>
      <c r="S15" s="270"/>
      <c r="T15" s="713">
        <f t="shared" si="1"/>
        <v>140</v>
      </c>
      <c r="U15" s="713">
        <f t="shared" si="2"/>
        <v>151.7</v>
      </c>
      <c r="V15" s="1052">
        <f t="shared" si="3"/>
        <v>108.35714285714285</v>
      </c>
    </row>
    <row r="16" spans="1:22" ht="15" customHeight="1">
      <c r="A16" s="172">
        <f t="shared" si="0"/>
        <v>8</v>
      </c>
      <c r="B16" s="173">
        <v>2</v>
      </c>
      <c r="C16" s="174" t="s">
        <v>460</v>
      </c>
      <c r="D16" s="718"/>
      <c r="E16" s="175"/>
      <c r="F16" s="176">
        <f>F17</f>
        <v>12.4</v>
      </c>
      <c r="G16" s="176">
        <f>G17</f>
        <v>4.3</v>
      </c>
      <c r="H16" s="176">
        <f>H17</f>
        <v>1.3</v>
      </c>
      <c r="I16" s="176"/>
      <c r="J16" s="384">
        <f>SUM(F16:I16)</f>
        <v>18</v>
      </c>
      <c r="K16" s="386">
        <f>+K17</f>
        <v>14.899999999999999</v>
      </c>
      <c r="L16" s="298"/>
      <c r="M16" s="176"/>
      <c r="N16" s="176"/>
      <c r="O16" s="176"/>
      <c r="P16" s="176"/>
      <c r="Q16" s="384">
        <f>SUM(M16:P16)</f>
        <v>0</v>
      </c>
      <c r="R16" s="386">
        <f>+R17</f>
        <v>0</v>
      </c>
      <c r="S16" s="298"/>
      <c r="T16" s="384">
        <f t="shared" si="1"/>
        <v>18</v>
      </c>
      <c r="U16" s="384">
        <f t="shared" si="2"/>
        <v>14.899999999999999</v>
      </c>
      <c r="V16" s="1050">
        <f t="shared" si="3"/>
        <v>82.77777777777777</v>
      </c>
    </row>
    <row r="17" spans="1:22" ht="15" customHeight="1">
      <c r="A17" s="172">
        <f t="shared" si="0"/>
        <v>9</v>
      </c>
      <c r="B17" s="181"/>
      <c r="C17" s="182" t="s">
        <v>465</v>
      </c>
      <c r="D17" s="719" t="s">
        <v>349</v>
      </c>
      <c r="E17" s="184" t="s">
        <v>466</v>
      </c>
      <c r="F17" s="280">
        <f>SUM(F18:F20)</f>
        <v>12.4</v>
      </c>
      <c r="G17" s="280">
        <f>SUM(G18:G20)</f>
        <v>4.3</v>
      </c>
      <c r="H17" s="280">
        <f>SUM(H18:H20)</f>
        <v>1.3</v>
      </c>
      <c r="I17" s="280"/>
      <c r="J17" s="189">
        <f>SUM(J18:J20)</f>
        <v>18</v>
      </c>
      <c r="K17" s="282">
        <f>SUM(K18:K20)</f>
        <v>14.899999999999999</v>
      </c>
      <c r="L17" s="303"/>
      <c r="M17" s="280"/>
      <c r="N17" s="280"/>
      <c r="O17" s="280"/>
      <c r="P17" s="280"/>
      <c r="Q17" s="189">
        <f>SUM(Q18:Q20)</f>
        <v>0</v>
      </c>
      <c r="R17" s="282">
        <f>SUM(R18:R20)</f>
        <v>0</v>
      </c>
      <c r="S17" s="303"/>
      <c r="T17" s="189">
        <f t="shared" si="1"/>
        <v>18</v>
      </c>
      <c r="U17" s="189">
        <f t="shared" si="2"/>
        <v>14.899999999999999</v>
      </c>
      <c r="V17" s="1051">
        <f t="shared" si="3"/>
        <v>82.77777777777777</v>
      </c>
    </row>
    <row r="18" spans="1:22" ht="15" customHeight="1">
      <c r="A18" s="172">
        <f t="shared" si="0"/>
        <v>10</v>
      </c>
      <c r="B18" s="181"/>
      <c r="C18" s="190"/>
      <c r="D18" s="208">
        <v>1</v>
      </c>
      <c r="E18" s="1054" t="s">
        <v>184</v>
      </c>
      <c r="F18" s="370">
        <v>12.4</v>
      </c>
      <c r="G18" s="720"/>
      <c r="H18" s="720"/>
      <c r="I18" s="721"/>
      <c r="J18" s="235">
        <f aca="true" t="shared" si="4" ref="J18:J23">SUM(F18:I18)</f>
        <v>12.4</v>
      </c>
      <c r="K18" s="833">
        <v>10.7</v>
      </c>
      <c r="L18" s="855"/>
      <c r="M18" s="845"/>
      <c r="N18" s="845"/>
      <c r="O18" s="845"/>
      <c r="P18" s="845"/>
      <c r="Q18" s="842">
        <f>SUM(M18:P18)</f>
        <v>0</v>
      </c>
      <c r="R18" s="833">
        <v>0</v>
      </c>
      <c r="S18" s="270"/>
      <c r="T18" s="713">
        <f t="shared" si="1"/>
        <v>12.4</v>
      </c>
      <c r="U18" s="713">
        <f t="shared" si="2"/>
        <v>10.7</v>
      </c>
      <c r="V18" s="1052">
        <f t="shared" si="3"/>
        <v>86.29032258064515</v>
      </c>
    </row>
    <row r="19" spans="1:22" ht="15" customHeight="1">
      <c r="A19" s="172">
        <f>A18+1</f>
        <v>11</v>
      </c>
      <c r="B19" s="181"/>
      <c r="C19" s="190"/>
      <c r="D19" s="212">
        <f>D18+1</f>
        <v>2</v>
      </c>
      <c r="E19" s="712" t="s">
        <v>181</v>
      </c>
      <c r="F19" s="720"/>
      <c r="G19" s="720">
        <v>4.3</v>
      </c>
      <c r="H19" s="720"/>
      <c r="I19" s="542"/>
      <c r="J19" s="235">
        <f t="shared" si="4"/>
        <v>4.3</v>
      </c>
      <c r="K19" s="833">
        <v>3.7</v>
      </c>
      <c r="L19" s="855"/>
      <c r="M19" s="845"/>
      <c r="N19" s="845"/>
      <c r="O19" s="845"/>
      <c r="P19" s="845"/>
      <c r="Q19" s="842">
        <f>SUM(M19:P19)</f>
        <v>0</v>
      </c>
      <c r="R19" s="833">
        <v>0</v>
      </c>
      <c r="S19" s="270"/>
      <c r="T19" s="713">
        <f t="shared" si="1"/>
        <v>4.3</v>
      </c>
      <c r="U19" s="713">
        <f t="shared" si="2"/>
        <v>3.7</v>
      </c>
      <c r="V19" s="1052">
        <f t="shared" si="3"/>
        <v>86.04651162790698</v>
      </c>
    </row>
    <row r="20" spans="1:22" ht="15" customHeight="1">
      <c r="A20" s="172">
        <f>A19+1</f>
        <v>12</v>
      </c>
      <c r="B20" s="181"/>
      <c r="C20" s="190"/>
      <c r="D20" s="212">
        <f>D19+1</f>
        <v>3</v>
      </c>
      <c r="E20" s="712" t="s">
        <v>309</v>
      </c>
      <c r="F20" s="720"/>
      <c r="G20" s="720"/>
      <c r="H20" s="720">
        <v>1.3</v>
      </c>
      <c r="I20" s="542"/>
      <c r="J20" s="235">
        <f t="shared" si="4"/>
        <v>1.3</v>
      </c>
      <c r="K20" s="833">
        <v>0.5</v>
      </c>
      <c r="L20" s="855"/>
      <c r="M20" s="845"/>
      <c r="N20" s="845"/>
      <c r="O20" s="845"/>
      <c r="P20" s="845"/>
      <c r="Q20" s="842">
        <f>SUM(M20:P20)</f>
        <v>0</v>
      </c>
      <c r="R20" s="833">
        <v>0</v>
      </c>
      <c r="S20" s="270"/>
      <c r="T20" s="713">
        <f t="shared" si="1"/>
        <v>1.3</v>
      </c>
      <c r="U20" s="713">
        <f t="shared" si="2"/>
        <v>0.5</v>
      </c>
      <c r="V20" s="1052">
        <f t="shared" si="3"/>
        <v>38.46153846153846</v>
      </c>
    </row>
    <row r="21" spans="1:22" ht="15" customHeight="1">
      <c r="A21" s="172">
        <f>A20+1</f>
        <v>13</v>
      </c>
      <c r="B21" s="173">
        <v>3</v>
      </c>
      <c r="C21" s="174" t="s">
        <v>81</v>
      </c>
      <c r="D21" s="718"/>
      <c r="E21" s="175"/>
      <c r="F21" s="176"/>
      <c r="G21" s="176"/>
      <c r="H21" s="176"/>
      <c r="I21" s="176">
        <f>I22</f>
        <v>0.6</v>
      </c>
      <c r="J21" s="384">
        <f t="shared" si="4"/>
        <v>0.6</v>
      </c>
      <c r="K21" s="386">
        <f>+K22</f>
        <v>0.6</v>
      </c>
      <c r="L21" s="298"/>
      <c r="M21" s="176"/>
      <c r="N21" s="176"/>
      <c r="O21" s="176"/>
      <c r="P21" s="176"/>
      <c r="Q21" s="384">
        <f>SUM(M21:P21)</f>
        <v>0</v>
      </c>
      <c r="R21" s="386">
        <f>+R22</f>
        <v>0</v>
      </c>
      <c r="S21" s="298"/>
      <c r="T21" s="384">
        <f t="shared" si="1"/>
        <v>0.6</v>
      </c>
      <c r="U21" s="384">
        <f t="shared" si="2"/>
        <v>0.6</v>
      </c>
      <c r="V21" s="1050">
        <f t="shared" si="3"/>
        <v>100</v>
      </c>
    </row>
    <row r="22" spans="1:22" ht="15" customHeight="1">
      <c r="A22" s="172">
        <f t="shared" si="0"/>
        <v>14</v>
      </c>
      <c r="B22" s="181"/>
      <c r="C22" s="182" t="s">
        <v>297</v>
      </c>
      <c r="D22" s="719" t="s">
        <v>81</v>
      </c>
      <c r="E22" s="184"/>
      <c r="F22" s="280"/>
      <c r="G22" s="280"/>
      <c r="H22" s="280"/>
      <c r="I22" s="280">
        <v>0.6</v>
      </c>
      <c r="J22" s="189">
        <f t="shared" si="4"/>
        <v>0.6</v>
      </c>
      <c r="K22" s="282">
        <v>0.6</v>
      </c>
      <c r="L22" s="722"/>
      <c r="M22" s="371"/>
      <c r="N22" s="371"/>
      <c r="O22" s="371"/>
      <c r="P22" s="280"/>
      <c r="Q22" s="189">
        <f>SUM(Q23:Q25)</f>
        <v>0</v>
      </c>
      <c r="R22" s="282">
        <v>0</v>
      </c>
      <c r="S22" s="303"/>
      <c r="T22" s="189">
        <f t="shared" si="1"/>
        <v>0.6</v>
      </c>
      <c r="U22" s="189">
        <f t="shared" si="2"/>
        <v>0.6</v>
      </c>
      <c r="V22" s="1051">
        <f t="shared" si="3"/>
        <v>100</v>
      </c>
    </row>
    <row r="23" spans="1:22" ht="15" customHeight="1">
      <c r="A23" s="172">
        <f>A22+1</f>
        <v>15</v>
      </c>
      <c r="B23" s="173">
        <v>4</v>
      </c>
      <c r="C23" s="174" t="s">
        <v>82</v>
      </c>
      <c r="D23" s="718"/>
      <c r="E23" s="175"/>
      <c r="F23" s="176">
        <f>F24</f>
        <v>69.9</v>
      </c>
      <c r="G23" s="176">
        <f>G24</f>
        <v>24.4</v>
      </c>
      <c r="H23" s="176">
        <f>H24</f>
        <v>13.3</v>
      </c>
      <c r="I23" s="176"/>
      <c r="J23" s="384">
        <f t="shared" si="4"/>
        <v>107.60000000000001</v>
      </c>
      <c r="K23" s="386">
        <f>+K24</f>
        <v>109.60000000000002</v>
      </c>
      <c r="L23" s="298"/>
      <c r="M23" s="176"/>
      <c r="N23" s="176"/>
      <c r="O23" s="176"/>
      <c r="P23" s="176"/>
      <c r="Q23" s="384">
        <f>SUM(M23:P23)</f>
        <v>0</v>
      </c>
      <c r="R23" s="386">
        <f>+R24</f>
        <v>0</v>
      </c>
      <c r="S23" s="298"/>
      <c r="T23" s="384">
        <f t="shared" si="1"/>
        <v>107.60000000000001</v>
      </c>
      <c r="U23" s="384">
        <f t="shared" si="2"/>
        <v>109.60000000000002</v>
      </c>
      <c r="V23" s="1050">
        <f t="shared" si="3"/>
        <v>101.85873605947957</v>
      </c>
    </row>
    <row r="24" spans="1:22" ht="15" customHeight="1">
      <c r="A24" s="172">
        <f t="shared" si="0"/>
        <v>16</v>
      </c>
      <c r="B24" s="181"/>
      <c r="C24" s="182" t="s">
        <v>8</v>
      </c>
      <c r="D24" s="719" t="s">
        <v>82</v>
      </c>
      <c r="E24" s="184"/>
      <c r="F24" s="723">
        <f>SUM(F25:F31)</f>
        <v>69.9</v>
      </c>
      <c r="G24" s="723">
        <f>SUM(G25:G31)</f>
        <v>24.4</v>
      </c>
      <c r="H24" s="723">
        <f>SUM(H25:H31)</f>
        <v>13.3</v>
      </c>
      <c r="I24" s="723"/>
      <c r="J24" s="189">
        <f>SUM(J25:J31)</f>
        <v>107.60000000000001</v>
      </c>
      <c r="K24" s="282">
        <f>SUM(K25:K31)</f>
        <v>109.60000000000002</v>
      </c>
      <c r="L24" s="270"/>
      <c r="M24" s="723"/>
      <c r="N24" s="723"/>
      <c r="O24" s="723"/>
      <c r="P24" s="723"/>
      <c r="Q24" s="189">
        <f>SUM(Q25:Q31)</f>
        <v>0</v>
      </c>
      <c r="R24" s="282">
        <f>SUM(R25:R31)</f>
        <v>0</v>
      </c>
      <c r="S24" s="270"/>
      <c r="T24" s="189">
        <f t="shared" si="1"/>
        <v>107.60000000000001</v>
      </c>
      <c r="U24" s="189">
        <f t="shared" si="2"/>
        <v>109.60000000000002</v>
      </c>
      <c r="V24" s="1051">
        <f t="shared" si="3"/>
        <v>101.85873605947957</v>
      </c>
    </row>
    <row r="25" spans="1:22" ht="15" customHeight="1">
      <c r="A25" s="172">
        <f t="shared" si="0"/>
        <v>17</v>
      </c>
      <c r="B25" s="181"/>
      <c r="C25" s="190"/>
      <c r="D25" s="208">
        <v>1</v>
      </c>
      <c r="E25" s="714" t="s">
        <v>180</v>
      </c>
      <c r="F25" s="724">
        <v>69.9</v>
      </c>
      <c r="G25" s="724"/>
      <c r="H25" s="724"/>
      <c r="I25" s="725"/>
      <c r="J25" s="235">
        <f aca="true" t="shared" si="5" ref="J25:J32">SUM(F25:I25)</f>
        <v>69.9</v>
      </c>
      <c r="K25" s="833">
        <v>72.2</v>
      </c>
      <c r="L25" s="855"/>
      <c r="M25" s="845"/>
      <c r="N25" s="845"/>
      <c r="O25" s="845"/>
      <c r="P25" s="845"/>
      <c r="Q25" s="842">
        <f>SUM(M25:P25)</f>
        <v>0</v>
      </c>
      <c r="R25" s="833">
        <v>0</v>
      </c>
      <c r="S25" s="270"/>
      <c r="T25" s="713">
        <f t="shared" si="1"/>
        <v>69.9</v>
      </c>
      <c r="U25" s="713">
        <f t="shared" si="2"/>
        <v>72.2</v>
      </c>
      <c r="V25" s="1052">
        <f t="shared" si="3"/>
        <v>103.2904148783977</v>
      </c>
    </row>
    <row r="26" spans="1:22" ht="15" customHeight="1">
      <c r="A26" s="172">
        <f t="shared" si="0"/>
        <v>18</v>
      </c>
      <c r="B26" s="181"/>
      <c r="C26" s="190"/>
      <c r="D26" s="212">
        <f>D25+1</f>
        <v>2</v>
      </c>
      <c r="E26" s="714" t="s">
        <v>181</v>
      </c>
      <c r="F26" s="724"/>
      <c r="G26" s="724">
        <v>24.4</v>
      </c>
      <c r="H26" s="724"/>
      <c r="I26" s="726"/>
      <c r="J26" s="235">
        <f t="shared" si="5"/>
        <v>24.4</v>
      </c>
      <c r="K26" s="833">
        <v>25.2</v>
      </c>
      <c r="L26" s="855"/>
      <c r="M26" s="845"/>
      <c r="N26" s="845"/>
      <c r="O26" s="845"/>
      <c r="P26" s="845"/>
      <c r="Q26" s="842">
        <f aca="true" t="shared" si="6" ref="Q26:Q31">SUM(M26:P26)</f>
        <v>0</v>
      </c>
      <c r="R26" s="833">
        <v>0</v>
      </c>
      <c r="S26" s="270"/>
      <c r="T26" s="713">
        <f t="shared" si="1"/>
        <v>24.4</v>
      </c>
      <c r="U26" s="713">
        <f t="shared" si="2"/>
        <v>25.2</v>
      </c>
      <c r="V26" s="1052">
        <f t="shared" si="3"/>
        <v>103.27868852459017</v>
      </c>
    </row>
    <row r="27" spans="1:22" ht="15" customHeight="1">
      <c r="A27" s="172">
        <f t="shared" si="0"/>
        <v>19</v>
      </c>
      <c r="B27" s="181"/>
      <c r="C27" s="190"/>
      <c r="D27" s="212">
        <f>D26+1</f>
        <v>3</v>
      </c>
      <c r="E27" s="729" t="s">
        <v>590</v>
      </c>
      <c r="F27" s="724"/>
      <c r="G27" s="724"/>
      <c r="H27" s="727">
        <v>0.3</v>
      </c>
      <c r="I27" s="728"/>
      <c r="J27" s="235">
        <f t="shared" si="5"/>
        <v>0.3</v>
      </c>
      <c r="K27" s="833">
        <v>0.2</v>
      </c>
      <c r="L27" s="855"/>
      <c r="M27" s="845"/>
      <c r="N27" s="845"/>
      <c r="O27" s="845"/>
      <c r="P27" s="845"/>
      <c r="Q27" s="842">
        <f t="shared" si="6"/>
        <v>0</v>
      </c>
      <c r="R27" s="833">
        <v>0</v>
      </c>
      <c r="S27" s="270"/>
      <c r="T27" s="713">
        <f t="shared" si="1"/>
        <v>0.3</v>
      </c>
      <c r="U27" s="713">
        <f t="shared" si="2"/>
        <v>0.2</v>
      </c>
      <c r="V27" s="1052">
        <f t="shared" si="3"/>
        <v>66.66666666666667</v>
      </c>
    </row>
    <row r="28" spans="1:22" ht="15" customHeight="1">
      <c r="A28" s="172">
        <f t="shared" si="0"/>
        <v>20</v>
      </c>
      <c r="B28" s="181"/>
      <c r="C28" s="190"/>
      <c r="D28" s="212">
        <f>D27+1</f>
        <v>4</v>
      </c>
      <c r="E28" s="729" t="s">
        <v>182</v>
      </c>
      <c r="F28" s="727"/>
      <c r="G28" s="727"/>
      <c r="H28" s="727">
        <v>0.7</v>
      </c>
      <c r="I28" s="728"/>
      <c r="J28" s="235">
        <f t="shared" si="5"/>
        <v>0.7</v>
      </c>
      <c r="K28" s="833">
        <v>0.8</v>
      </c>
      <c r="L28" s="855"/>
      <c r="M28" s="845"/>
      <c r="N28" s="845"/>
      <c r="O28" s="845"/>
      <c r="P28" s="845"/>
      <c r="Q28" s="842">
        <f t="shared" si="6"/>
        <v>0</v>
      </c>
      <c r="R28" s="833">
        <v>0</v>
      </c>
      <c r="S28" s="270"/>
      <c r="T28" s="713">
        <f t="shared" si="1"/>
        <v>0.7</v>
      </c>
      <c r="U28" s="713">
        <f t="shared" si="2"/>
        <v>0.8</v>
      </c>
      <c r="V28" s="1052">
        <f t="shared" si="3"/>
        <v>114.2857142857143</v>
      </c>
    </row>
    <row r="29" spans="1:22" ht="15" customHeight="1">
      <c r="A29" s="172">
        <f t="shared" si="0"/>
        <v>21</v>
      </c>
      <c r="B29" s="181"/>
      <c r="C29" s="190"/>
      <c r="D29" s="212">
        <f>D28+1</f>
        <v>5</v>
      </c>
      <c r="E29" s="714" t="s">
        <v>538</v>
      </c>
      <c r="F29" s="727"/>
      <c r="G29" s="727"/>
      <c r="H29" s="727">
        <v>3.3</v>
      </c>
      <c r="I29" s="728"/>
      <c r="J29" s="235">
        <f t="shared" si="5"/>
        <v>3.3</v>
      </c>
      <c r="K29" s="833">
        <v>3.4</v>
      </c>
      <c r="L29" s="855"/>
      <c r="M29" s="845"/>
      <c r="N29" s="845"/>
      <c r="O29" s="845"/>
      <c r="P29" s="845"/>
      <c r="Q29" s="842">
        <f t="shared" si="6"/>
        <v>0</v>
      </c>
      <c r="R29" s="833">
        <v>0</v>
      </c>
      <c r="S29" s="270"/>
      <c r="T29" s="713">
        <f t="shared" si="1"/>
        <v>3.3</v>
      </c>
      <c r="U29" s="713">
        <f t="shared" si="2"/>
        <v>3.4</v>
      </c>
      <c r="V29" s="1052">
        <f t="shared" si="3"/>
        <v>103.03030303030303</v>
      </c>
    </row>
    <row r="30" spans="1:22" ht="15" customHeight="1">
      <c r="A30" s="172">
        <f t="shared" si="0"/>
        <v>22</v>
      </c>
      <c r="B30" s="181"/>
      <c r="C30" s="190"/>
      <c r="D30" s="212">
        <v>6</v>
      </c>
      <c r="E30" s="714" t="s">
        <v>360</v>
      </c>
      <c r="F30" s="727"/>
      <c r="G30" s="727"/>
      <c r="H30" s="727">
        <v>1</v>
      </c>
      <c r="I30" s="728"/>
      <c r="J30" s="235">
        <f t="shared" si="5"/>
        <v>1</v>
      </c>
      <c r="K30" s="833">
        <v>0.4</v>
      </c>
      <c r="L30" s="855"/>
      <c r="M30" s="845"/>
      <c r="N30" s="845"/>
      <c r="O30" s="845"/>
      <c r="P30" s="845"/>
      <c r="Q30" s="842">
        <f t="shared" si="6"/>
        <v>0</v>
      </c>
      <c r="R30" s="833">
        <v>0</v>
      </c>
      <c r="S30" s="270"/>
      <c r="T30" s="713">
        <f t="shared" si="1"/>
        <v>1</v>
      </c>
      <c r="U30" s="713">
        <f t="shared" si="2"/>
        <v>0.4</v>
      </c>
      <c r="V30" s="1052">
        <f t="shared" si="3"/>
        <v>40</v>
      </c>
    </row>
    <row r="31" spans="1:22" ht="15" customHeight="1">
      <c r="A31" s="172">
        <f t="shared" si="0"/>
        <v>23</v>
      </c>
      <c r="B31" s="181"/>
      <c r="C31" s="190"/>
      <c r="D31" s="212">
        <v>7</v>
      </c>
      <c r="E31" s="729" t="s">
        <v>183</v>
      </c>
      <c r="F31" s="727"/>
      <c r="G31" s="727"/>
      <c r="H31" s="727">
        <v>8</v>
      </c>
      <c r="I31" s="726"/>
      <c r="J31" s="235">
        <f t="shared" si="5"/>
        <v>8</v>
      </c>
      <c r="K31" s="833">
        <v>7.4</v>
      </c>
      <c r="L31" s="855"/>
      <c r="M31" s="845"/>
      <c r="N31" s="845"/>
      <c r="O31" s="845"/>
      <c r="P31" s="845"/>
      <c r="Q31" s="842">
        <f t="shared" si="6"/>
        <v>0</v>
      </c>
      <c r="R31" s="833">
        <v>0</v>
      </c>
      <c r="S31" s="270"/>
      <c r="T31" s="713">
        <f t="shared" si="1"/>
        <v>8</v>
      </c>
      <c r="U31" s="713">
        <f t="shared" si="2"/>
        <v>7.4</v>
      </c>
      <c r="V31" s="1052">
        <f t="shared" si="3"/>
        <v>92.5</v>
      </c>
    </row>
    <row r="32" spans="1:22" ht="15" customHeight="1">
      <c r="A32" s="172">
        <f t="shared" si="0"/>
        <v>24</v>
      </c>
      <c r="B32" s="173">
        <v>5</v>
      </c>
      <c r="C32" s="174" t="s">
        <v>83</v>
      </c>
      <c r="D32" s="718"/>
      <c r="E32" s="175"/>
      <c r="F32" s="176"/>
      <c r="G32" s="176"/>
      <c r="H32" s="176">
        <f>H33</f>
        <v>5</v>
      </c>
      <c r="I32" s="176">
        <f>I33</f>
        <v>1</v>
      </c>
      <c r="J32" s="384">
        <f t="shared" si="5"/>
        <v>6</v>
      </c>
      <c r="K32" s="386">
        <f>+K33</f>
        <v>4.9</v>
      </c>
      <c r="L32" s="298"/>
      <c r="M32" s="176"/>
      <c r="N32" s="176"/>
      <c r="O32" s="176"/>
      <c r="P32" s="176"/>
      <c r="Q32" s="384">
        <f>SUM(M32:P32)</f>
        <v>0</v>
      </c>
      <c r="R32" s="386">
        <f>+R33</f>
        <v>0</v>
      </c>
      <c r="S32" s="298"/>
      <c r="T32" s="384">
        <f t="shared" si="1"/>
        <v>6</v>
      </c>
      <c r="U32" s="384">
        <f t="shared" si="2"/>
        <v>4.9</v>
      </c>
      <c r="V32" s="1050">
        <f t="shared" si="3"/>
        <v>81.66666666666667</v>
      </c>
    </row>
    <row r="33" spans="1:22" ht="15" customHeight="1">
      <c r="A33" s="172">
        <f t="shared" si="0"/>
        <v>25</v>
      </c>
      <c r="B33" s="181"/>
      <c r="C33" s="182" t="s">
        <v>301</v>
      </c>
      <c r="D33" s="719" t="s">
        <v>26</v>
      </c>
      <c r="E33" s="184"/>
      <c r="F33" s="280"/>
      <c r="G33" s="280"/>
      <c r="H33" s="280">
        <f>SUM(H34:H36)</f>
        <v>5</v>
      </c>
      <c r="I33" s="280">
        <f>SUM(I34:I36)</f>
        <v>1</v>
      </c>
      <c r="J33" s="189">
        <f>SUM(J34:J36)</f>
        <v>6</v>
      </c>
      <c r="K33" s="282">
        <f>SUM(K34:K36)</f>
        <v>4.9</v>
      </c>
      <c r="L33" s="303"/>
      <c r="M33" s="280"/>
      <c r="N33" s="280"/>
      <c r="O33" s="280"/>
      <c r="P33" s="280"/>
      <c r="Q33" s="189">
        <f>SUM(Q34:Q36)</f>
        <v>0</v>
      </c>
      <c r="R33" s="282">
        <f>SUM(R34:R36)</f>
        <v>0</v>
      </c>
      <c r="S33" s="303"/>
      <c r="T33" s="189">
        <f t="shared" si="1"/>
        <v>6</v>
      </c>
      <c r="U33" s="189">
        <f t="shared" si="2"/>
        <v>4.9</v>
      </c>
      <c r="V33" s="1051">
        <f t="shared" si="3"/>
        <v>81.66666666666667</v>
      </c>
    </row>
    <row r="34" spans="1:22" ht="15" customHeight="1">
      <c r="A34" s="172">
        <f t="shared" si="0"/>
        <v>26</v>
      </c>
      <c r="B34" s="181"/>
      <c r="C34" s="190"/>
      <c r="D34" s="208">
        <v>1</v>
      </c>
      <c r="E34" s="729" t="s">
        <v>177</v>
      </c>
      <c r="F34" s="730"/>
      <c r="G34" s="730"/>
      <c r="H34" s="296"/>
      <c r="I34" s="296">
        <v>1</v>
      </c>
      <c r="J34" s="235">
        <f>SUM(F34:I34)</f>
        <v>1</v>
      </c>
      <c r="K34" s="833">
        <v>1</v>
      </c>
      <c r="L34" s="855"/>
      <c r="M34" s="845"/>
      <c r="N34" s="845"/>
      <c r="O34" s="845"/>
      <c r="P34" s="845"/>
      <c r="Q34" s="842">
        <f>SUM(M34:P34)</f>
        <v>0</v>
      </c>
      <c r="R34" s="833">
        <v>0</v>
      </c>
      <c r="S34" s="270"/>
      <c r="T34" s="713">
        <f t="shared" si="1"/>
        <v>1</v>
      </c>
      <c r="U34" s="713">
        <f t="shared" si="2"/>
        <v>1</v>
      </c>
      <c r="V34" s="1052">
        <f t="shared" si="3"/>
        <v>100</v>
      </c>
    </row>
    <row r="35" spans="1:24" s="211" customFormat="1" ht="15" customHeight="1">
      <c r="A35" s="172">
        <f t="shared" si="0"/>
        <v>27</v>
      </c>
      <c r="B35" s="181"/>
      <c r="C35" s="190"/>
      <c r="D35" s="212">
        <f>D34+1</f>
        <v>2</v>
      </c>
      <c r="E35" s="714" t="s">
        <v>178</v>
      </c>
      <c r="F35" s="716"/>
      <c r="G35" s="716"/>
      <c r="H35" s="370">
        <v>3</v>
      </c>
      <c r="I35" s="296"/>
      <c r="J35" s="235">
        <f>SUM(F35:I35)</f>
        <v>3</v>
      </c>
      <c r="K35" s="833">
        <v>1.1</v>
      </c>
      <c r="L35" s="855"/>
      <c r="M35" s="845"/>
      <c r="N35" s="845"/>
      <c r="O35" s="845"/>
      <c r="P35" s="845"/>
      <c r="Q35" s="842">
        <f>SUM(M35:P35)</f>
        <v>0</v>
      </c>
      <c r="R35" s="833">
        <v>0</v>
      </c>
      <c r="S35" s="270"/>
      <c r="T35" s="713">
        <f t="shared" si="1"/>
        <v>3</v>
      </c>
      <c r="U35" s="713">
        <f t="shared" si="2"/>
        <v>1.1</v>
      </c>
      <c r="V35" s="1052">
        <f t="shared" si="3"/>
        <v>36.66666666666667</v>
      </c>
      <c r="W35" s="731"/>
      <c r="X35" s="731"/>
    </row>
    <row r="36" spans="1:24" s="211" customFormat="1" ht="15" customHeight="1" thickBot="1">
      <c r="A36" s="214">
        <f t="shared" si="0"/>
        <v>28</v>
      </c>
      <c r="B36" s="215"/>
      <c r="C36" s="216"/>
      <c r="D36" s="217">
        <f>D35+1</f>
        <v>3</v>
      </c>
      <c r="E36" s="732" t="s">
        <v>179</v>
      </c>
      <c r="F36" s="733"/>
      <c r="G36" s="733"/>
      <c r="H36" s="734">
        <v>2</v>
      </c>
      <c r="I36" s="734"/>
      <c r="J36" s="236">
        <f>SUM(F36:I36)</f>
        <v>2</v>
      </c>
      <c r="K36" s="834">
        <v>2.8</v>
      </c>
      <c r="L36" s="856"/>
      <c r="M36" s="854"/>
      <c r="N36" s="854"/>
      <c r="O36" s="854"/>
      <c r="P36" s="854"/>
      <c r="Q36" s="852">
        <f>SUM(M36:P36)</f>
        <v>0</v>
      </c>
      <c r="R36" s="834">
        <v>0</v>
      </c>
      <c r="S36" s="323"/>
      <c r="T36" s="592">
        <f t="shared" si="1"/>
        <v>2</v>
      </c>
      <c r="U36" s="592">
        <f t="shared" si="2"/>
        <v>2.8</v>
      </c>
      <c r="V36" s="592">
        <f t="shared" si="3"/>
        <v>140</v>
      </c>
      <c r="W36" s="731"/>
      <c r="X36" s="731"/>
    </row>
    <row r="37" spans="9:13" ht="9.75" customHeight="1">
      <c r="I37" s="153"/>
      <c r="J37" s="153"/>
      <c r="M37" s="735"/>
    </row>
    <row r="38" ht="13.5" customHeight="1">
      <c r="G38" s="153"/>
    </row>
    <row r="39" ht="14.25" customHeight="1"/>
    <row r="40" ht="12.75">
      <c r="F40" s="153"/>
    </row>
    <row r="42" ht="9.75" customHeight="1"/>
  </sheetData>
  <sheetProtection/>
  <mergeCells count="17">
    <mergeCell ref="V7:V8"/>
    <mergeCell ref="M5:R5"/>
    <mergeCell ref="M6:R6"/>
    <mergeCell ref="R7:R8"/>
    <mergeCell ref="P7:P8"/>
    <mergeCell ref="M7:M8"/>
    <mergeCell ref="N7:N8"/>
    <mergeCell ref="O7:O8"/>
    <mergeCell ref="A4:R4"/>
    <mergeCell ref="A5:K5"/>
    <mergeCell ref="H7:H8"/>
    <mergeCell ref="I7:I8"/>
    <mergeCell ref="K7:K8"/>
    <mergeCell ref="F7:F8"/>
    <mergeCell ref="G7:G8"/>
    <mergeCell ref="J7:J8"/>
    <mergeCell ref="Q7:Q8"/>
  </mergeCells>
  <printOptions horizontalCentered="1"/>
  <pageMargins left="0.5118110236220472" right="0.15748031496062992" top="0.9055118110236221" bottom="0.1968503937007874" header="0.4724409448818898" footer="0.15748031496062992"/>
  <pageSetup horizontalDpi="600" verticalDpi="600" orientation="landscape" paperSize="5" scale="101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115" zoomScaleNormal="85" zoomScaleSheetLayoutView="115" zoomScalePageLayoutView="0" workbookViewId="0" topLeftCell="A34">
      <selection activeCell="L46" sqref="L46"/>
    </sheetView>
  </sheetViews>
  <sheetFormatPr defaultColWidth="9.140625" defaultRowHeight="12.75"/>
  <cols>
    <col min="1" max="1" width="3.8515625" style="3" customWidth="1"/>
    <col min="2" max="2" width="3.421875" style="2" customWidth="1"/>
    <col min="3" max="3" width="7.28125" style="0" customWidth="1"/>
    <col min="4" max="4" width="3.00390625" style="0" customWidth="1"/>
    <col min="5" max="5" width="37.28125" style="0" customWidth="1"/>
    <col min="6" max="8" width="7.28125" style="0" customWidth="1"/>
    <col min="9" max="9" width="4.57421875" style="0" customWidth="1"/>
    <col min="10" max="10" width="5.00390625" style="0" customWidth="1"/>
    <col min="11" max="11" width="7.140625" style="0" bestFit="1" customWidth="1"/>
    <col min="12" max="12" width="8.421875" style="0" customWidth="1"/>
    <col min="13" max="13" width="0.85546875" style="23" customWidth="1"/>
    <col min="14" max="14" width="4.140625" style="0" customWidth="1"/>
    <col min="15" max="15" width="3.8515625" style="0" customWidth="1"/>
    <col min="16" max="17" width="4.00390625" style="0" customWidth="1"/>
    <col min="18" max="19" width="7.28125" style="0" customWidth="1"/>
    <col min="20" max="20" width="0.9921875" style="23" customWidth="1"/>
    <col min="21" max="21" width="9.8515625" style="0" customWidth="1"/>
  </cols>
  <sheetData>
    <row r="1" spans="12:21" ht="12.75">
      <c r="L1" s="42"/>
      <c r="S1" s="6"/>
      <c r="U1" s="6"/>
    </row>
    <row r="2" spans="2:21" ht="18.75">
      <c r="B2" s="43" t="s">
        <v>270</v>
      </c>
      <c r="U2" s="6"/>
    </row>
    <row r="3" ht="2.25" customHeight="1" thickBot="1"/>
    <row r="4" spans="1:23" ht="14.25" customHeight="1" thickBot="1">
      <c r="A4" s="1213" t="s">
        <v>497</v>
      </c>
      <c r="B4" s="1214"/>
      <c r="C4" s="1214"/>
      <c r="D4" s="1214"/>
      <c r="E4" s="1214"/>
      <c r="F4" s="1214"/>
      <c r="G4" s="1214"/>
      <c r="H4" s="1214"/>
      <c r="I4" s="1214"/>
      <c r="J4" s="1214"/>
      <c r="K4" s="1214"/>
      <c r="L4" s="1215"/>
      <c r="M4" s="54"/>
      <c r="N4" s="33"/>
      <c r="O4" s="32"/>
      <c r="P4" s="32"/>
      <c r="Q4" s="32"/>
      <c r="R4" s="32"/>
      <c r="S4" s="34"/>
      <c r="T4" s="54"/>
      <c r="U4" s="346"/>
      <c r="V4" s="239"/>
      <c r="W4" s="240"/>
    </row>
    <row r="5" spans="1:23" ht="18.75" customHeight="1">
      <c r="A5" s="15"/>
      <c r="B5" s="1216" t="s">
        <v>30</v>
      </c>
      <c r="C5" s="1217"/>
      <c r="D5" s="1217"/>
      <c r="E5" s="1217"/>
      <c r="F5" s="1217"/>
      <c r="G5" s="1217"/>
      <c r="H5" s="1217"/>
      <c r="I5" s="1217"/>
      <c r="J5" s="1217"/>
      <c r="K5" s="1217"/>
      <c r="L5" s="1218"/>
      <c r="M5" s="30"/>
      <c r="N5" s="1222" t="s">
        <v>29</v>
      </c>
      <c r="O5" s="1223"/>
      <c r="P5" s="1223"/>
      <c r="Q5" s="1223"/>
      <c r="R5" s="1223"/>
      <c r="S5" s="1224"/>
      <c r="T5" s="30"/>
      <c r="U5" s="782" t="s">
        <v>31</v>
      </c>
      <c r="V5" s="782" t="s">
        <v>558</v>
      </c>
      <c r="W5" s="783" t="s">
        <v>558</v>
      </c>
    </row>
    <row r="6" spans="1:23" ht="13.5" thickBot="1">
      <c r="A6" s="16"/>
      <c r="B6" s="26" t="s">
        <v>65</v>
      </c>
      <c r="C6" s="17" t="s">
        <v>27</v>
      </c>
      <c r="D6" s="35"/>
      <c r="E6" s="1219" t="s">
        <v>28</v>
      </c>
      <c r="F6" s="1220"/>
      <c r="G6" s="1220"/>
      <c r="H6" s="1220"/>
      <c r="I6" s="1220"/>
      <c r="J6" s="1220"/>
      <c r="K6" s="1220"/>
      <c r="L6" s="1221"/>
      <c r="M6" s="4"/>
      <c r="N6" s="1225"/>
      <c r="O6" s="1220"/>
      <c r="P6" s="1220"/>
      <c r="Q6" s="1220"/>
      <c r="R6" s="1220"/>
      <c r="S6" s="1221"/>
      <c r="T6" s="4"/>
      <c r="U6" s="60"/>
      <c r="V6" s="60" t="s">
        <v>559</v>
      </c>
      <c r="W6" s="59" t="s">
        <v>559</v>
      </c>
    </row>
    <row r="7" spans="1:23" ht="12.75">
      <c r="A7" s="18"/>
      <c r="B7" s="27" t="s">
        <v>66</v>
      </c>
      <c r="C7" s="19" t="s">
        <v>64</v>
      </c>
      <c r="D7" s="20"/>
      <c r="E7" s="40" t="s">
        <v>20</v>
      </c>
      <c r="F7" s="1130">
        <v>610</v>
      </c>
      <c r="G7" s="1110">
        <v>620</v>
      </c>
      <c r="H7" s="1110">
        <v>630</v>
      </c>
      <c r="I7" s="1110">
        <v>640</v>
      </c>
      <c r="J7" s="1107">
        <v>650</v>
      </c>
      <c r="K7" s="1119" t="s">
        <v>562</v>
      </c>
      <c r="L7" s="1133" t="s">
        <v>558</v>
      </c>
      <c r="M7" s="31"/>
      <c r="N7" s="1226">
        <v>713</v>
      </c>
      <c r="O7" s="1106">
        <v>714</v>
      </c>
      <c r="P7" s="1106">
        <v>716</v>
      </c>
      <c r="Q7" s="1106">
        <v>717</v>
      </c>
      <c r="R7" s="1119" t="s">
        <v>562</v>
      </c>
      <c r="S7" s="1133" t="s">
        <v>558</v>
      </c>
      <c r="T7" s="31"/>
      <c r="U7" s="60" t="s">
        <v>49</v>
      </c>
      <c r="V7" s="60" t="s">
        <v>49</v>
      </c>
      <c r="W7" s="1118" t="s">
        <v>560</v>
      </c>
    </row>
    <row r="8" spans="1:23" ht="13.5" thickBot="1">
      <c r="A8" s="18"/>
      <c r="B8" s="27"/>
      <c r="C8" s="19"/>
      <c r="D8" s="20"/>
      <c r="E8" s="785"/>
      <c r="F8" s="1130"/>
      <c r="G8" s="1110"/>
      <c r="H8" s="1110"/>
      <c r="I8" s="1110"/>
      <c r="J8" s="1110"/>
      <c r="K8" s="1120"/>
      <c r="L8" s="1134"/>
      <c r="M8" s="31"/>
      <c r="N8" s="1141"/>
      <c r="O8" s="1107"/>
      <c r="P8" s="1107"/>
      <c r="Q8" s="1107"/>
      <c r="R8" s="1120"/>
      <c r="S8" s="1134"/>
      <c r="T8" s="31"/>
      <c r="U8" s="60">
        <v>2010</v>
      </c>
      <c r="V8" s="60" t="s">
        <v>561</v>
      </c>
      <c r="W8" s="1118"/>
    </row>
    <row r="9" spans="1:23" ht="15.75" thickBot="1" thickTop="1">
      <c r="A9" s="578">
        <v>1</v>
      </c>
      <c r="B9" s="28" t="s">
        <v>446</v>
      </c>
      <c r="C9" s="11"/>
      <c r="D9" s="12"/>
      <c r="E9" s="41"/>
      <c r="F9" s="737">
        <f>F10</f>
        <v>424</v>
      </c>
      <c r="G9" s="738">
        <f>G10</f>
        <v>164.39999999999998</v>
      </c>
      <c r="H9" s="738">
        <f>H10</f>
        <v>400.0999999999999</v>
      </c>
      <c r="I9" s="738">
        <f>I10</f>
        <v>5.5</v>
      </c>
      <c r="J9" s="738">
        <f>J10</f>
        <v>30</v>
      </c>
      <c r="K9" s="274">
        <f>SUM(F9:J9)</f>
        <v>1023.9999999999999</v>
      </c>
      <c r="L9" s="275">
        <f>+L10</f>
        <v>1038.8000000000002</v>
      </c>
      <c r="M9" s="791"/>
      <c r="N9" s="792"/>
      <c r="O9" s="738"/>
      <c r="P9" s="738"/>
      <c r="Q9" s="738"/>
      <c r="R9" s="274">
        <f>SUM(N9:Q9)</f>
        <v>0</v>
      </c>
      <c r="S9" s="275">
        <f>S10</f>
        <v>0</v>
      </c>
      <c r="T9" s="791"/>
      <c r="U9" s="739">
        <f>+K9+R9</f>
        <v>1023.9999999999999</v>
      </c>
      <c r="V9" s="739">
        <f>+L9+S9</f>
        <v>1038.8000000000002</v>
      </c>
      <c r="W9" s="1065">
        <f>+V9/U9*100</f>
        <v>101.44531250000004</v>
      </c>
    </row>
    <row r="10" spans="1:23" ht="12" customHeight="1" thickTop="1">
      <c r="A10" s="574">
        <f>A9+1</f>
        <v>2</v>
      </c>
      <c r="B10" s="575">
        <v>1</v>
      </c>
      <c r="C10" s="576" t="s">
        <v>2</v>
      </c>
      <c r="D10" s="577"/>
      <c r="E10" s="786"/>
      <c r="F10" s="787">
        <f>F11+F38+F44+F46+F50</f>
        <v>424</v>
      </c>
      <c r="G10" s="787">
        <f>G11+G38+G44+G46+G50</f>
        <v>164.39999999999998</v>
      </c>
      <c r="H10" s="787">
        <f>H11+H38+H44+H46+H50</f>
        <v>400.0999999999999</v>
      </c>
      <c r="I10" s="787">
        <f>I11+I38+I44+I46+I50</f>
        <v>5.5</v>
      </c>
      <c r="J10" s="787">
        <f>J11+J38+J44+J46+J50</f>
        <v>30</v>
      </c>
      <c r="K10" s="384">
        <f>SUM(F10:J10)</f>
        <v>1023.9999999999999</v>
      </c>
      <c r="L10" s="386">
        <f>L11+L38+L44+L46+L50</f>
        <v>1038.8000000000002</v>
      </c>
      <c r="M10" s="740"/>
      <c r="N10" s="788"/>
      <c r="O10" s="789"/>
      <c r="P10" s="789"/>
      <c r="Q10" s="789"/>
      <c r="R10" s="384">
        <f>SUM(N10:Q10)</f>
        <v>0</v>
      </c>
      <c r="S10" s="386">
        <f>S11+S38+S44+S46+S50</f>
        <v>0</v>
      </c>
      <c r="T10" s="740"/>
      <c r="U10" s="790">
        <f aca="true" t="shared" si="0" ref="U10:U55">+K10+R10</f>
        <v>1023.9999999999999</v>
      </c>
      <c r="V10" s="790">
        <f aca="true" t="shared" si="1" ref="V10:V55">+L10+S10</f>
        <v>1038.8000000000002</v>
      </c>
      <c r="W10" s="1055">
        <f aca="true" t="shared" si="2" ref="W10:W55">+V10/U10*100</f>
        <v>101.44531250000004</v>
      </c>
    </row>
    <row r="11" spans="1:23" ht="12" customHeight="1">
      <c r="A11" s="8">
        <f>A10+1</f>
        <v>3</v>
      </c>
      <c r="B11" s="10"/>
      <c r="C11" s="14" t="s">
        <v>71</v>
      </c>
      <c r="D11" s="13" t="s">
        <v>12</v>
      </c>
      <c r="E11" s="36"/>
      <c r="F11" s="741">
        <f>SUM(F12:F37)</f>
        <v>404.8</v>
      </c>
      <c r="G11" s="741">
        <f>SUM(G12:G37)</f>
        <v>157.2</v>
      </c>
      <c r="H11" s="741">
        <f>SUM(H12:H37)</f>
        <v>380.49999999999994</v>
      </c>
      <c r="I11" s="741">
        <f>SUM(I12:I37)</f>
        <v>5.5</v>
      </c>
      <c r="J11" s="741"/>
      <c r="K11" s="189">
        <f>SUM(K12:K37)</f>
        <v>947.9999999999999</v>
      </c>
      <c r="L11" s="282">
        <f>SUM(L12:L37)</f>
        <v>961.5000000000002</v>
      </c>
      <c r="M11" s="742"/>
      <c r="N11" s="743"/>
      <c r="O11" s="741"/>
      <c r="P11" s="741"/>
      <c r="Q11" s="741"/>
      <c r="R11" s="189">
        <f>SUM(R12:R37)</f>
        <v>0</v>
      </c>
      <c r="S11" s="282">
        <f>SUM(S12:S37)</f>
        <v>0</v>
      </c>
      <c r="T11" s="742"/>
      <c r="U11" s="745">
        <f t="shared" si="0"/>
        <v>947.9999999999999</v>
      </c>
      <c r="V11" s="745">
        <f t="shared" si="1"/>
        <v>961.5000000000002</v>
      </c>
      <c r="W11" s="1056">
        <f t="shared" si="2"/>
        <v>101.42405063291142</v>
      </c>
    </row>
    <row r="12" spans="1:23" ht="12" customHeight="1">
      <c r="A12" s="8">
        <f aca="true" t="shared" si="3" ref="A12:A55">A11+1</f>
        <v>4</v>
      </c>
      <c r="B12" s="24"/>
      <c r="C12" s="5"/>
      <c r="D12" s="44" t="s">
        <v>21</v>
      </c>
      <c r="E12" s="87" t="s">
        <v>96</v>
      </c>
      <c r="F12" s="746">
        <v>404.8</v>
      </c>
      <c r="G12" s="746"/>
      <c r="H12" s="747"/>
      <c r="I12" s="747"/>
      <c r="J12" s="747"/>
      <c r="K12" s="235">
        <f>SUM(F12:J12)</f>
        <v>404.8</v>
      </c>
      <c r="L12" s="860">
        <v>406.5</v>
      </c>
      <c r="M12" s="857"/>
      <c r="N12" s="858"/>
      <c r="O12" s="859"/>
      <c r="P12" s="859"/>
      <c r="Q12" s="859"/>
      <c r="R12" s="842">
        <f>SUM(M12:Q12)</f>
        <v>0</v>
      </c>
      <c r="S12" s="833">
        <v>0</v>
      </c>
      <c r="T12" s="742"/>
      <c r="U12" s="749">
        <f t="shared" si="0"/>
        <v>404.8</v>
      </c>
      <c r="V12" s="749">
        <f t="shared" si="1"/>
        <v>406.5</v>
      </c>
      <c r="W12" s="1057">
        <f t="shared" si="2"/>
        <v>100.4199604743083</v>
      </c>
    </row>
    <row r="13" spans="1:23" ht="12" customHeight="1">
      <c r="A13" s="8">
        <f t="shared" si="3"/>
        <v>5</v>
      </c>
      <c r="B13" s="24"/>
      <c r="C13" s="5"/>
      <c r="D13" s="44">
        <f>D12+1</f>
        <v>2</v>
      </c>
      <c r="E13" s="87" t="s">
        <v>97</v>
      </c>
      <c r="F13" s="747"/>
      <c r="G13" s="746">
        <v>157.2</v>
      </c>
      <c r="H13" s="747"/>
      <c r="I13" s="747"/>
      <c r="J13" s="747"/>
      <c r="K13" s="235">
        <f aca="true" t="shared" si="4" ref="K13:K24">SUM(F13:J13)</f>
        <v>157.2</v>
      </c>
      <c r="L13" s="860">
        <v>155.9</v>
      </c>
      <c r="M13" s="857"/>
      <c r="N13" s="858"/>
      <c r="O13" s="859"/>
      <c r="P13" s="859"/>
      <c r="Q13" s="859"/>
      <c r="R13" s="842">
        <f aca="true" t="shared" si="5" ref="R13:R37">SUM(M13:Q13)</f>
        <v>0</v>
      </c>
      <c r="S13" s="833">
        <v>0</v>
      </c>
      <c r="T13" s="742"/>
      <c r="U13" s="749">
        <f t="shared" si="0"/>
        <v>157.2</v>
      </c>
      <c r="V13" s="749">
        <f t="shared" si="1"/>
        <v>155.9</v>
      </c>
      <c r="W13" s="1057">
        <f t="shared" si="2"/>
        <v>99.17302798982189</v>
      </c>
    </row>
    <row r="14" spans="1:23" ht="12" customHeight="1">
      <c r="A14" s="8">
        <f t="shared" si="3"/>
        <v>6</v>
      </c>
      <c r="B14" s="24"/>
      <c r="C14" s="5"/>
      <c r="D14" s="44">
        <f aca="true" t="shared" si="6" ref="D14:D35">D13+1</f>
        <v>3</v>
      </c>
      <c r="E14" s="88" t="s">
        <v>591</v>
      </c>
      <c r="F14" s="747"/>
      <c r="G14" s="747"/>
      <c r="H14" s="538"/>
      <c r="I14" s="747">
        <v>5</v>
      </c>
      <c r="J14" s="747"/>
      <c r="K14" s="235">
        <f t="shared" si="4"/>
        <v>5</v>
      </c>
      <c r="L14" s="860">
        <v>14.7</v>
      </c>
      <c r="M14" s="857"/>
      <c r="N14" s="858"/>
      <c r="O14" s="859"/>
      <c r="P14" s="859"/>
      <c r="Q14" s="859"/>
      <c r="R14" s="842">
        <f t="shared" si="5"/>
        <v>0</v>
      </c>
      <c r="S14" s="833">
        <v>0</v>
      </c>
      <c r="T14" s="742"/>
      <c r="U14" s="749">
        <f t="shared" si="0"/>
        <v>5</v>
      </c>
      <c r="V14" s="749">
        <f t="shared" si="1"/>
        <v>14.7</v>
      </c>
      <c r="W14" s="1057">
        <f t="shared" si="2"/>
        <v>294</v>
      </c>
    </row>
    <row r="15" spans="1:23" ht="12" customHeight="1">
      <c r="A15" s="8">
        <f t="shared" si="3"/>
        <v>7</v>
      </c>
      <c r="B15" s="24"/>
      <c r="C15" s="5"/>
      <c r="D15" s="44">
        <f t="shared" si="6"/>
        <v>4</v>
      </c>
      <c r="E15" s="87" t="s">
        <v>296</v>
      </c>
      <c r="F15" s="747"/>
      <c r="G15" s="747"/>
      <c r="H15" s="538">
        <v>24.7</v>
      </c>
      <c r="I15" s="747"/>
      <c r="J15" s="747"/>
      <c r="K15" s="235">
        <f t="shared" si="4"/>
        <v>24.7</v>
      </c>
      <c r="L15" s="860">
        <v>19</v>
      </c>
      <c r="M15" s="857"/>
      <c r="N15" s="858"/>
      <c r="O15" s="859"/>
      <c r="P15" s="859"/>
      <c r="Q15" s="859"/>
      <c r="R15" s="842">
        <f t="shared" si="5"/>
        <v>0</v>
      </c>
      <c r="S15" s="833">
        <v>0</v>
      </c>
      <c r="T15" s="742"/>
      <c r="U15" s="749">
        <f t="shared" si="0"/>
        <v>24.7</v>
      </c>
      <c r="V15" s="749">
        <f t="shared" si="1"/>
        <v>19</v>
      </c>
      <c r="W15" s="1057">
        <f t="shared" si="2"/>
        <v>76.92307692307693</v>
      </c>
    </row>
    <row r="16" spans="1:23" ht="12" customHeight="1">
      <c r="A16" s="8">
        <f t="shared" si="3"/>
        <v>8</v>
      </c>
      <c r="B16" s="24"/>
      <c r="C16" s="5"/>
      <c r="D16" s="44">
        <f t="shared" si="6"/>
        <v>5</v>
      </c>
      <c r="E16" s="88" t="s">
        <v>168</v>
      </c>
      <c r="F16" s="747"/>
      <c r="G16" s="747"/>
      <c r="H16" s="538">
        <v>140</v>
      </c>
      <c r="I16" s="747"/>
      <c r="J16" s="747"/>
      <c r="K16" s="235">
        <f t="shared" si="4"/>
        <v>140</v>
      </c>
      <c r="L16" s="860">
        <v>122.9</v>
      </c>
      <c r="M16" s="857"/>
      <c r="N16" s="858"/>
      <c r="O16" s="859"/>
      <c r="P16" s="859"/>
      <c r="Q16" s="859"/>
      <c r="R16" s="842">
        <f t="shared" si="5"/>
        <v>0</v>
      </c>
      <c r="S16" s="833">
        <v>0</v>
      </c>
      <c r="T16" s="742"/>
      <c r="U16" s="749">
        <f t="shared" si="0"/>
        <v>140</v>
      </c>
      <c r="V16" s="749">
        <f t="shared" si="1"/>
        <v>122.9</v>
      </c>
      <c r="W16" s="1057">
        <f t="shared" si="2"/>
        <v>87.78571428571429</v>
      </c>
    </row>
    <row r="17" spans="1:23" ht="12" customHeight="1">
      <c r="A17" s="8">
        <f t="shared" si="3"/>
        <v>9</v>
      </c>
      <c r="B17" s="24"/>
      <c r="C17" s="5"/>
      <c r="D17" s="44">
        <f t="shared" si="6"/>
        <v>6</v>
      </c>
      <c r="E17" s="88" t="s">
        <v>520</v>
      </c>
      <c r="F17" s="747"/>
      <c r="G17" s="747"/>
      <c r="H17" s="538">
        <v>108.6</v>
      </c>
      <c r="I17" s="747"/>
      <c r="J17" s="747"/>
      <c r="K17" s="235">
        <f t="shared" si="4"/>
        <v>108.6</v>
      </c>
      <c r="L17" s="860">
        <v>137.2</v>
      </c>
      <c r="M17" s="857"/>
      <c r="N17" s="858"/>
      <c r="O17" s="859"/>
      <c r="P17" s="859"/>
      <c r="Q17" s="859"/>
      <c r="R17" s="842">
        <f t="shared" si="5"/>
        <v>0</v>
      </c>
      <c r="S17" s="833">
        <v>0</v>
      </c>
      <c r="T17" s="742"/>
      <c r="U17" s="749">
        <f t="shared" si="0"/>
        <v>108.6</v>
      </c>
      <c r="V17" s="749">
        <f t="shared" si="1"/>
        <v>137.2</v>
      </c>
      <c r="W17" s="1057">
        <f t="shared" si="2"/>
        <v>126.33517495395947</v>
      </c>
    </row>
    <row r="18" spans="1:23" ht="12" customHeight="1">
      <c r="A18" s="8">
        <f t="shared" si="3"/>
        <v>10</v>
      </c>
      <c r="B18" s="24"/>
      <c r="C18" s="5"/>
      <c r="D18" s="44">
        <f t="shared" si="6"/>
        <v>7</v>
      </c>
      <c r="E18" s="88" t="s">
        <v>316</v>
      </c>
      <c r="F18" s="747"/>
      <c r="G18" s="747"/>
      <c r="H18" s="538">
        <v>20</v>
      </c>
      <c r="I18" s="747"/>
      <c r="J18" s="747"/>
      <c r="K18" s="235">
        <f t="shared" si="4"/>
        <v>20</v>
      </c>
      <c r="L18" s="860">
        <v>20.2</v>
      </c>
      <c r="M18" s="857"/>
      <c r="N18" s="858"/>
      <c r="O18" s="859"/>
      <c r="P18" s="859"/>
      <c r="Q18" s="859"/>
      <c r="R18" s="842">
        <f t="shared" si="5"/>
        <v>0</v>
      </c>
      <c r="S18" s="833">
        <v>0</v>
      </c>
      <c r="T18" s="742"/>
      <c r="U18" s="749">
        <f t="shared" si="0"/>
        <v>20</v>
      </c>
      <c r="V18" s="749">
        <f t="shared" si="1"/>
        <v>20.2</v>
      </c>
      <c r="W18" s="1057">
        <f t="shared" si="2"/>
        <v>101</v>
      </c>
    </row>
    <row r="19" spans="1:23" ht="12" customHeight="1">
      <c r="A19" s="8">
        <f t="shared" si="3"/>
        <v>11</v>
      </c>
      <c r="B19" s="24"/>
      <c r="C19" s="5"/>
      <c r="D19" s="44">
        <f t="shared" si="6"/>
        <v>8</v>
      </c>
      <c r="E19" s="87" t="s">
        <v>284</v>
      </c>
      <c r="F19" s="747"/>
      <c r="G19" s="747"/>
      <c r="H19" s="538"/>
      <c r="I19" s="747">
        <v>0.2</v>
      </c>
      <c r="J19" s="747"/>
      <c r="K19" s="235">
        <f t="shared" si="4"/>
        <v>0.2</v>
      </c>
      <c r="L19" s="860">
        <v>0.2</v>
      </c>
      <c r="M19" s="857"/>
      <c r="N19" s="858"/>
      <c r="O19" s="859"/>
      <c r="P19" s="859"/>
      <c r="Q19" s="859"/>
      <c r="R19" s="842">
        <f t="shared" si="5"/>
        <v>0</v>
      </c>
      <c r="S19" s="833">
        <v>0</v>
      </c>
      <c r="T19" s="742"/>
      <c r="U19" s="749">
        <f t="shared" si="0"/>
        <v>0.2</v>
      </c>
      <c r="V19" s="749">
        <f t="shared" si="1"/>
        <v>0.2</v>
      </c>
      <c r="W19" s="1057">
        <f t="shared" si="2"/>
        <v>100</v>
      </c>
    </row>
    <row r="20" spans="1:23" ht="12" customHeight="1">
      <c r="A20" s="8">
        <f t="shared" si="3"/>
        <v>12</v>
      </c>
      <c r="B20" s="24"/>
      <c r="C20" s="5"/>
      <c r="D20" s="44">
        <f t="shared" si="6"/>
        <v>9</v>
      </c>
      <c r="E20" s="87" t="s">
        <v>274</v>
      </c>
      <c r="F20" s="747"/>
      <c r="G20" s="747"/>
      <c r="H20" s="538">
        <v>16.3</v>
      </c>
      <c r="I20" s="747"/>
      <c r="J20" s="747"/>
      <c r="K20" s="235">
        <f t="shared" si="4"/>
        <v>16.3</v>
      </c>
      <c r="L20" s="860">
        <f>14.1+3</f>
        <v>17.1</v>
      </c>
      <c r="M20" s="857"/>
      <c r="N20" s="858"/>
      <c r="O20" s="859"/>
      <c r="P20" s="859"/>
      <c r="Q20" s="859"/>
      <c r="R20" s="842">
        <f t="shared" si="5"/>
        <v>0</v>
      </c>
      <c r="S20" s="833">
        <v>0</v>
      </c>
      <c r="T20" s="742"/>
      <c r="U20" s="749">
        <f t="shared" si="0"/>
        <v>16.3</v>
      </c>
      <c r="V20" s="749">
        <f t="shared" si="1"/>
        <v>17.1</v>
      </c>
      <c r="W20" s="1057">
        <f t="shared" si="2"/>
        <v>104.9079754601227</v>
      </c>
    </row>
    <row r="21" spans="1:23" ht="12" customHeight="1">
      <c r="A21" s="8">
        <f t="shared" si="3"/>
        <v>13</v>
      </c>
      <c r="B21" s="24"/>
      <c r="C21" s="5"/>
      <c r="D21" s="44">
        <f t="shared" si="6"/>
        <v>10</v>
      </c>
      <c r="E21" s="87" t="s">
        <v>290</v>
      </c>
      <c r="F21" s="747"/>
      <c r="G21" s="747"/>
      <c r="H21" s="538">
        <v>0.3</v>
      </c>
      <c r="I21" s="747"/>
      <c r="J21" s="747"/>
      <c r="K21" s="235">
        <f t="shared" si="4"/>
        <v>0.3</v>
      </c>
      <c r="L21" s="860">
        <v>0</v>
      </c>
      <c r="M21" s="857"/>
      <c r="N21" s="858"/>
      <c r="O21" s="859"/>
      <c r="P21" s="859"/>
      <c r="Q21" s="859"/>
      <c r="R21" s="842">
        <f t="shared" si="5"/>
        <v>0</v>
      </c>
      <c r="S21" s="833">
        <v>0</v>
      </c>
      <c r="T21" s="742"/>
      <c r="U21" s="749">
        <f t="shared" si="0"/>
        <v>0.3</v>
      </c>
      <c r="V21" s="749">
        <f t="shared" si="1"/>
        <v>0</v>
      </c>
      <c r="W21" s="1057">
        <f t="shared" si="2"/>
        <v>0</v>
      </c>
    </row>
    <row r="22" spans="1:23" ht="12" customHeight="1">
      <c r="A22" s="8">
        <f t="shared" si="3"/>
        <v>14</v>
      </c>
      <c r="B22" s="24"/>
      <c r="C22" s="5"/>
      <c r="D22" s="44">
        <f t="shared" si="6"/>
        <v>11</v>
      </c>
      <c r="E22" s="87" t="s">
        <v>291</v>
      </c>
      <c r="F22" s="747"/>
      <c r="G22" s="747"/>
      <c r="H22" s="538">
        <v>1.5</v>
      </c>
      <c r="I22" s="747"/>
      <c r="J22" s="747"/>
      <c r="K22" s="235">
        <f t="shared" si="4"/>
        <v>1.5</v>
      </c>
      <c r="L22" s="860">
        <v>1.5</v>
      </c>
      <c r="M22" s="857"/>
      <c r="N22" s="858"/>
      <c r="O22" s="859"/>
      <c r="P22" s="859"/>
      <c r="Q22" s="859"/>
      <c r="R22" s="842">
        <f t="shared" si="5"/>
        <v>0</v>
      </c>
      <c r="S22" s="833">
        <v>0</v>
      </c>
      <c r="T22" s="742"/>
      <c r="U22" s="749">
        <f t="shared" si="0"/>
        <v>1.5</v>
      </c>
      <c r="V22" s="749">
        <f t="shared" si="1"/>
        <v>1.5</v>
      </c>
      <c r="W22" s="1057">
        <f t="shared" si="2"/>
        <v>100</v>
      </c>
    </row>
    <row r="23" spans="1:23" ht="12" customHeight="1">
      <c r="A23" s="8">
        <f t="shared" si="3"/>
        <v>15</v>
      </c>
      <c r="B23" s="24"/>
      <c r="C23" s="5"/>
      <c r="D23" s="44">
        <f t="shared" si="6"/>
        <v>12</v>
      </c>
      <c r="E23" s="87" t="s">
        <v>292</v>
      </c>
      <c r="F23" s="747"/>
      <c r="G23" s="747"/>
      <c r="H23" s="538">
        <v>0.3</v>
      </c>
      <c r="I23" s="747"/>
      <c r="J23" s="747"/>
      <c r="K23" s="235">
        <f t="shared" si="4"/>
        <v>0.3</v>
      </c>
      <c r="L23" s="860">
        <v>0.1</v>
      </c>
      <c r="M23" s="857"/>
      <c r="N23" s="858"/>
      <c r="O23" s="859"/>
      <c r="P23" s="859"/>
      <c r="Q23" s="859"/>
      <c r="R23" s="842">
        <f t="shared" si="5"/>
        <v>0</v>
      </c>
      <c r="S23" s="833">
        <v>0</v>
      </c>
      <c r="T23" s="742"/>
      <c r="U23" s="749">
        <f t="shared" si="0"/>
        <v>0.3</v>
      </c>
      <c r="V23" s="749">
        <f t="shared" si="1"/>
        <v>0.1</v>
      </c>
      <c r="W23" s="1057">
        <f t="shared" si="2"/>
        <v>33.333333333333336</v>
      </c>
    </row>
    <row r="24" spans="1:23" ht="12" customHeight="1">
      <c r="A24" s="8">
        <f t="shared" si="3"/>
        <v>16</v>
      </c>
      <c r="B24" s="24"/>
      <c r="C24" s="5"/>
      <c r="D24" s="44">
        <f t="shared" si="6"/>
        <v>13</v>
      </c>
      <c r="E24" s="87" t="s">
        <v>289</v>
      </c>
      <c r="F24" s="747"/>
      <c r="G24" s="747"/>
      <c r="H24" s="538">
        <v>1.5</v>
      </c>
      <c r="I24" s="747"/>
      <c r="J24" s="747"/>
      <c r="K24" s="235">
        <f t="shared" si="4"/>
        <v>1.5</v>
      </c>
      <c r="L24" s="860">
        <v>0.9</v>
      </c>
      <c r="M24" s="857"/>
      <c r="N24" s="858"/>
      <c r="O24" s="859"/>
      <c r="P24" s="859"/>
      <c r="Q24" s="859"/>
      <c r="R24" s="842">
        <f t="shared" si="5"/>
        <v>0</v>
      </c>
      <c r="S24" s="833">
        <v>0</v>
      </c>
      <c r="T24" s="742"/>
      <c r="U24" s="749">
        <f t="shared" si="0"/>
        <v>1.5</v>
      </c>
      <c r="V24" s="749">
        <f t="shared" si="1"/>
        <v>0.9</v>
      </c>
      <c r="W24" s="1057">
        <f t="shared" si="2"/>
        <v>60</v>
      </c>
    </row>
    <row r="25" spans="1:23" s="74" customFormat="1" ht="12" customHeight="1">
      <c r="A25" s="8">
        <f t="shared" si="3"/>
        <v>17</v>
      </c>
      <c r="B25" s="24"/>
      <c r="C25" s="5"/>
      <c r="D25" s="44">
        <f t="shared" si="6"/>
        <v>14</v>
      </c>
      <c r="E25" s="87" t="s">
        <v>360</v>
      </c>
      <c r="F25" s="747"/>
      <c r="G25" s="747"/>
      <c r="H25" s="538">
        <v>20</v>
      </c>
      <c r="I25" s="747"/>
      <c r="J25" s="747"/>
      <c r="K25" s="235">
        <f aca="true" t="shared" si="7" ref="K25:K37">SUM(F25:J25)</f>
        <v>20</v>
      </c>
      <c r="L25" s="860">
        <v>18.8</v>
      </c>
      <c r="M25" s="857"/>
      <c r="N25" s="858"/>
      <c r="O25" s="859"/>
      <c r="P25" s="859"/>
      <c r="Q25" s="859"/>
      <c r="R25" s="842">
        <f t="shared" si="5"/>
        <v>0</v>
      </c>
      <c r="S25" s="833">
        <v>0</v>
      </c>
      <c r="T25" s="742"/>
      <c r="U25" s="749">
        <f t="shared" si="0"/>
        <v>20</v>
      </c>
      <c r="V25" s="749">
        <f t="shared" si="1"/>
        <v>18.8</v>
      </c>
      <c r="W25" s="1057">
        <f t="shared" si="2"/>
        <v>94</v>
      </c>
    </row>
    <row r="26" spans="1:23" s="74" customFormat="1" ht="12" customHeight="1">
      <c r="A26" s="8">
        <f t="shared" si="3"/>
        <v>18</v>
      </c>
      <c r="B26" s="10"/>
      <c r="C26" s="5"/>
      <c r="D26" s="44">
        <f t="shared" si="6"/>
        <v>15</v>
      </c>
      <c r="E26" s="88" t="s">
        <v>544</v>
      </c>
      <c r="F26" s="747"/>
      <c r="G26" s="747"/>
      <c r="H26" s="538">
        <v>4.4</v>
      </c>
      <c r="I26" s="747"/>
      <c r="J26" s="747"/>
      <c r="K26" s="235">
        <f t="shared" si="7"/>
        <v>4.4</v>
      </c>
      <c r="L26" s="860">
        <v>5</v>
      </c>
      <c r="M26" s="857"/>
      <c r="N26" s="858"/>
      <c r="O26" s="859"/>
      <c r="P26" s="859"/>
      <c r="Q26" s="859"/>
      <c r="R26" s="842">
        <f t="shared" si="5"/>
        <v>0</v>
      </c>
      <c r="S26" s="833">
        <v>0</v>
      </c>
      <c r="T26" s="748"/>
      <c r="U26" s="749">
        <f t="shared" si="0"/>
        <v>4.4</v>
      </c>
      <c r="V26" s="749">
        <f t="shared" si="1"/>
        <v>5</v>
      </c>
      <c r="W26" s="1057">
        <f t="shared" si="2"/>
        <v>113.63636363636363</v>
      </c>
    </row>
    <row r="27" spans="1:23" s="74" customFormat="1" ht="12" customHeight="1">
      <c r="A27" s="8">
        <f t="shared" si="3"/>
        <v>19</v>
      </c>
      <c r="B27" s="10"/>
      <c r="C27" s="5"/>
      <c r="D27" s="44">
        <f t="shared" si="6"/>
        <v>16</v>
      </c>
      <c r="E27" s="88" t="s">
        <v>590</v>
      </c>
      <c r="F27" s="747"/>
      <c r="G27" s="747"/>
      <c r="H27" s="538"/>
      <c r="I27" s="747">
        <v>0.3</v>
      </c>
      <c r="J27" s="747"/>
      <c r="K27" s="235">
        <f t="shared" si="7"/>
        <v>0.3</v>
      </c>
      <c r="L27" s="860">
        <v>0.5</v>
      </c>
      <c r="M27" s="857"/>
      <c r="N27" s="858"/>
      <c r="O27" s="859"/>
      <c r="P27" s="859"/>
      <c r="Q27" s="859"/>
      <c r="R27" s="842">
        <f t="shared" si="5"/>
        <v>0</v>
      </c>
      <c r="S27" s="833">
        <v>0</v>
      </c>
      <c r="T27" s="748"/>
      <c r="U27" s="749">
        <f t="shared" si="0"/>
        <v>0.3</v>
      </c>
      <c r="V27" s="749">
        <f t="shared" si="1"/>
        <v>0.5</v>
      </c>
      <c r="W27" s="1057">
        <f t="shared" si="2"/>
        <v>166.66666666666669</v>
      </c>
    </row>
    <row r="28" spans="1:23" ht="12" customHeight="1">
      <c r="A28" s="8">
        <f t="shared" si="3"/>
        <v>20</v>
      </c>
      <c r="B28" s="10"/>
      <c r="C28" s="5"/>
      <c r="D28" s="44">
        <f t="shared" si="6"/>
        <v>17</v>
      </c>
      <c r="E28" s="87" t="s">
        <v>294</v>
      </c>
      <c r="F28" s="747"/>
      <c r="G28" s="747"/>
      <c r="H28" s="538">
        <v>0.5</v>
      </c>
      <c r="I28" s="747"/>
      <c r="J28" s="747"/>
      <c r="K28" s="235">
        <f t="shared" si="7"/>
        <v>0.5</v>
      </c>
      <c r="L28" s="860">
        <v>0.1</v>
      </c>
      <c r="M28" s="857"/>
      <c r="N28" s="858"/>
      <c r="O28" s="859"/>
      <c r="P28" s="859"/>
      <c r="Q28" s="859"/>
      <c r="R28" s="842">
        <f t="shared" si="5"/>
        <v>0</v>
      </c>
      <c r="S28" s="833">
        <v>0</v>
      </c>
      <c r="T28" s="748"/>
      <c r="U28" s="749">
        <f t="shared" si="0"/>
        <v>0.5</v>
      </c>
      <c r="V28" s="749">
        <f t="shared" si="1"/>
        <v>0.1</v>
      </c>
      <c r="W28" s="1057">
        <f t="shared" si="2"/>
        <v>20</v>
      </c>
    </row>
    <row r="29" spans="1:23" ht="12" customHeight="1">
      <c r="A29" s="8">
        <f t="shared" si="3"/>
        <v>21</v>
      </c>
      <c r="B29" s="10"/>
      <c r="C29" s="5"/>
      <c r="D29" s="44">
        <f t="shared" si="6"/>
        <v>18</v>
      </c>
      <c r="E29" s="87" t="s">
        <v>295</v>
      </c>
      <c r="F29" s="747"/>
      <c r="G29" s="747"/>
      <c r="H29" s="538">
        <v>2</v>
      </c>
      <c r="I29" s="747"/>
      <c r="J29" s="747"/>
      <c r="K29" s="235">
        <f t="shared" si="7"/>
        <v>2</v>
      </c>
      <c r="L29" s="860">
        <v>2.6</v>
      </c>
      <c r="M29" s="857"/>
      <c r="N29" s="858"/>
      <c r="O29" s="859"/>
      <c r="P29" s="859"/>
      <c r="Q29" s="859"/>
      <c r="R29" s="842">
        <f t="shared" si="5"/>
        <v>0</v>
      </c>
      <c r="S29" s="833">
        <v>0</v>
      </c>
      <c r="T29" s="748"/>
      <c r="U29" s="749">
        <f t="shared" si="0"/>
        <v>2</v>
      </c>
      <c r="V29" s="749">
        <f t="shared" si="1"/>
        <v>2.6</v>
      </c>
      <c r="W29" s="1057">
        <f t="shared" si="2"/>
        <v>130</v>
      </c>
    </row>
    <row r="30" spans="1:23" ht="12" customHeight="1">
      <c r="A30" s="8">
        <f t="shared" si="3"/>
        <v>22</v>
      </c>
      <c r="B30" s="10"/>
      <c r="C30" s="5"/>
      <c r="D30" s="44">
        <f t="shared" si="6"/>
        <v>19</v>
      </c>
      <c r="E30" s="87" t="s">
        <v>16</v>
      </c>
      <c r="F30" s="747"/>
      <c r="G30" s="747"/>
      <c r="H30" s="538">
        <v>25</v>
      </c>
      <c r="I30" s="747"/>
      <c r="J30" s="747"/>
      <c r="K30" s="235">
        <f t="shared" si="7"/>
        <v>25</v>
      </c>
      <c r="L30" s="860">
        <v>23.8</v>
      </c>
      <c r="M30" s="857"/>
      <c r="N30" s="858"/>
      <c r="O30" s="859"/>
      <c r="P30" s="859"/>
      <c r="Q30" s="859"/>
      <c r="R30" s="842">
        <f t="shared" si="5"/>
        <v>0</v>
      </c>
      <c r="S30" s="833">
        <v>0</v>
      </c>
      <c r="T30" s="748"/>
      <c r="U30" s="749">
        <f t="shared" si="0"/>
        <v>25</v>
      </c>
      <c r="V30" s="749">
        <f t="shared" si="1"/>
        <v>23.8</v>
      </c>
      <c r="W30" s="1057">
        <f t="shared" si="2"/>
        <v>95.2</v>
      </c>
    </row>
    <row r="31" spans="1:23" ht="12" customHeight="1">
      <c r="A31" s="8">
        <f t="shared" si="3"/>
        <v>23</v>
      </c>
      <c r="B31" s="10"/>
      <c r="C31" s="5"/>
      <c r="D31" s="44">
        <f t="shared" si="6"/>
        <v>20</v>
      </c>
      <c r="E31" s="87" t="s">
        <v>17</v>
      </c>
      <c r="F31" s="747"/>
      <c r="G31" s="747"/>
      <c r="H31" s="538">
        <v>4.9</v>
      </c>
      <c r="I31" s="747"/>
      <c r="J31" s="747"/>
      <c r="K31" s="235">
        <f t="shared" si="7"/>
        <v>4.9</v>
      </c>
      <c r="L31" s="860">
        <v>4.5</v>
      </c>
      <c r="M31" s="857"/>
      <c r="N31" s="858"/>
      <c r="O31" s="859"/>
      <c r="P31" s="859"/>
      <c r="Q31" s="859"/>
      <c r="R31" s="842">
        <f t="shared" si="5"/>
        <v>0</v>
      </c>
      <c r="S31" s="833">
        <v>0</v>
      </c>
      <c r="T31" s="748"/>
      <c r="U31" s="749">
        <f t="shared" si="0"/>
        <v>4.9</v>
      </c>
      <c r="V31" s="749">
        <f t="shared" si="1"/>
        <v>4.5</v>
      </c>
      <c r="W31" s="1057">
        <f t="shared" si="2"/>
        <v>91.83673469387755</v>
      </c>
    </row>
    <row r="32" spans="1:23" ht="12" customHeight="1">
      <c r="A32" s="8">
        <f t="shared" si="3"/>
        <v>24</v>
      </c>
      <c r="B32" s="10"/>
      <c r="C32" s="5"/>
      <c r="D32" s="44">
        <f t="shared" si="6"/>
        <v>21</v>
      </c>
      <c r="E32" s="88" t="s">
        <v>521</v>
      </c>
      <c r="F32" s="747"/>
      <c r="G32" s="747"/>
      <c r="H32" s="538">
        <v>0.7</v>
      </c>
      <c r="I32" s="747"/>
      <c r="J32" s="747"/>
      <c r="K32" s="235">
        <f t="shared" si="7"/>
        <v>0.7</v>
      </c>
      <c r="L32" s="860">
        <v>0.2</v>
      </c>
      <c r="M32" s="857"/>
      <c r="N32" s="858"/>
      <c r="O32" s="859"/>
      <c r="P32" s="859"/>
      <c r="Q32" s="859"/>
      <c r="R32" s="842">
        <f t="shared" si="5"/>
        <v>0</v>
      </c>
      <c r="S32" s="833">
        <v>0</v>
      </c>
      <c r="T32" s="748"/>
      <c r="U32" s="749">
        <f t="shared" si="0"/>
        <v>0.7</v>
      </c>
      <c r="V32" s="749">
        <f t="shared" si="1"/>
        <v>0.2</v>
      </c>
      <c r="W32" s="1057">
        <f t="shared" si="2"/>
        <v>28.571428571428577</v>
      </c>
    </row>
    <row r="33" spans="1:23" ht="12" customHeight="1">
      <c r="A33" s="8">
        <f t="shared" si="3"/>
        <v>25</v>
      </c>
      <c r="B33" s="10"/>
      <c r="C33" s="5"/>
      <c r="D33" s="44">
        <f t="shared" si="6"/>
        <v>22</v>
      </c>
      <c r="E33" s="88" t="s">
        <v>522</v>
      </c>
      <c r="F33" s="747"/>
      <c r="G33" s="747"/>
      <c r="H33" s="538">
        <v>0.3</v>
      </c>
      <c r="I33" s="747"/>
      <c r="J33" s="747"/>
      <c r="K33" s="235">
        <f t="shared" si="7"/>
        <v>0.3</v>
      </c>
      <c r="L33" s="860">
        <v>0.3</v>
      </c>
      <c r="M33" s="857"/>
      <c r="N33" s="858"/>
      <c r="O33" s="859"/>
      <c r="P33" s="859"/>
      <c r="Q33" s="859"/>
      <c r="R33" s="842">
        <f t="shared" si="5"/>
        <v>0</v>
      </c>
      <c r="S33" s="833">
        <v>0</v>
      </c>
      <c r="T33" s="748"/>
      <c r="U33" s="749">
        <f t="shared" si="0"/>
        <v>0.3</v>
      </c>
      <c r="V33" s="749">
        <f t="shared" si="1"/>
        <v>0.3</v>
      </c>
      <c r="W33" s="1057">
        <f t="shared" si="2"/>
        <v>100</v>
      </c>
    </row>
    <row r="34" spans="1:23" ht="12" customHeight="1">
      <c r="A34" s="8">
        <f t="shared" si="3"/>
        <v>26</v>
      </c>
      <c r="B34" s="10"/>
      <c r="C34" s="5"/>
      <c r="D34" s="44">
        <f t="shared" si="6"/>
        <v>23</v>
      </c>
      <c r="E34" s="87" t="s">
        <v>441</v>
      </c>
      <c r="F34" s="747"/>
      <c r="G34" s="747"/>
      <c r="H34" s="747">
        <v>2</v>
      </c>
      <c r="I34" s="747"/>
      <c r="J34" s="747"/>
      <c r="K34" s="235">
        <f t="shared" si="7"/>
        <v>2</v>
      </c>
      <c r="L34" s="860">
        <v>2.5</v>
      </c>
      <c r="M34" s="857"/>
      <c r="N34" s="858"/>
      <c r="O34" s="859"/>
      <c r="P34" s="859"/>
      <c r="Q34" s="859"/>
      <c r="R34" s="842">
        <f t="shared" si="5"/>
        <v>0</v>
      </c>
      <c r="S34" s="833">
        <v>0</v>
      </c>
      <c r="T34" s="748"/>
      <c r="U34" s="749">
        <f t="shared" si="0"/>
        <v>2</v>
      </c>
      <c r="V34" s="749">
        <f t="shared" si="1"/>
        <v>2.5</v>
      </c>
      <c r="W34" s="1057">
        <f t="shared" si="2"/>
        <v>125</v>
      </c>
    </row>
    <row r="35" spans="1:23" ht="12" customHeight="1">
      <c r="A35" s="8">
        <f t="shared" si="3"/>
        <v>27</v>
      </c>
      <c r="B35" s="10"/>
      <c r="C35" s="5"/>
      <c r="D35" s="44">
        <f t="shared" si="6"/>
        <v>24</v>
      </c>
      <c r="E35" s="87" t="s">
        <v>18</v>
      </c>
      <c r="F35" s="747"/>
      <c r="G35" s="747"/>
      <c r="H35" s="747">
        <v>4.3</v>
      </c>
      <c r="I35" s="747"/>
      <c r="J35" s="747"/>
      <c r="K35" s="235">
        <f t="shared" si="7"/>
        <v>4.3</v>
      </c>
      <c r="L35" s="860">
        <v>3.7</v>
      </c>
      <c r="M35" s="857"/>
      <c r="N35" s="858"/>
      <c r="O35" s="859"/>
      <c r="P35" s="859"/>
      <c r="Q35" s="859"/>
      <c r="R35" s="842">
        <f t="shared" si="5"/>
        <v>0</v>
      </c>
      <c r="S35" s="833">
        <v>0</v>
      </c>
      <c r="T35" s="748"/>
      <c r="U35" s="749">
        <f t="shared" si="0"/>
        <v>4.3</v>
      </c>
      <c r="V35" s="749">
        <f t="shared" si="1"/>
        <v>3.7</v>
      </c>
      <c r="W35" s="1057">
        <f t="shared" si="2"/>
        <v>86.04651162790698</v>
      </c>
    </row>
    <row r="36" spans="1:23" ht="12" customHeight="1">
      <c r="A36" s="8">
        <f t="shared" si="3"/>
        <v>28</v>
      </c>
      <c r="B36" s="10"/>
      <c r="C36" s="5"/>
      <c r="D36" s="44">
        <f>D34+1</f>
        <v>24</v>
      </c>
      <c r="E36" s="87" t="s">
        <v>287</v>
      </c>
      <c r="F36" s="747"/>
      <c r="G36" s="747"/>
      <c r="H36" s="747">
        <v>3</v>
      </c>
      <c r="I36" s="747"/>
      <c r="J36" s="747"/>
      <c r="K36" s="235">
        <f t="shared" si="7"/>
        <v>3</v>
      </c>
      <c r="L36" s="860">
        <v>3.1</v>
      </c>
      <c r="M36" s="857"/>
      <c r="N36" s="858"/>
      <c r="O36" s="859"/>
      <c r="P36" s="859"/>
      <c r="Q36" s="859"/>
      <c r="R36" s="842">
        <f t="shared" si="5"/>
        <v>0</v>
      </c>
      <c r="S36" s="833">
        <v>0</v>
      </c>
      <c r="T36" s="748"/>
      <c r="U36" s="749">
        <f t="shared" si="0"/>
        <v>3</v>
      </c>
      <c r="V36" s="749">
        <f t="shared" si="1"/>
        <v>3.1</v>
      </c>
      <c r="W36" s="1057">
        <f t="shared" si="2"/>
        <v>103.33333333333334</v>
      </c>
    </row>
    <row r="37" spans="1:23" ht="12" customHeight="1">
      <c r="A37" s="8">
        <f t="shared" si="3"/>
        <v>29</v>
      </c>
      <c r="B37" s="10"/>
      <c r="C37" s="5"/>
      <c r="D37" s="44">
        <f>D35+1</f>
        <v>25</v>
      </c>
      <c r="E37" s="88" t="s">
        <v>545</v>
      </c>
      <c r="F37" s="747"/>
      <c r="G37" s="747"/>
      <c r="H37" s="747">
        <v>0.2</v>
      </c>
      <c r="I37" s="747"/>
      <c r="J37" s="747"/>
      <c r="K37" s="235">
        <f t="shared" si="7"/>
        <v>0.2</v>
      </c>
      <c r="L37" s="860">
        <v>0.2</v>
      </c>
      <c r="M37" s="857"/>
      <c r="N37" s="858"/>
      <c r="O37" s="859"/>
      <c r="P37" s="859"/>
      <c r="Q37" s="859"/>
      <c r="R37" s="842">
        <f t="shared" si="5"/>
        <v>0</v>
      </c>
      <c r="S37" s="833">
        <v>0</v>
      </c>
      <c r="T37" s="748"/>
      <c r="U37" s="749">
        <f t="shared" si="0"/>
        <v>0.2</v>
      </c>
      <c r="V37" s="749">
        <f t="shared" si="1"/>
        <v>0.2</v>
      </c>
      <c r="W37" s="1057">
        <f t="shared" si="2"/>
        <v>100</v>
      </c>
    </row>
    <row r="38" spans="1:23" ht="12" customHeight="1">
      <c r="A38" s="8">
        <f t="shared" si="3"/>
        <v>30</v>
      </c>
      <c r="B38" s="10"/>
      <c r="C38" s="14" t="s">
        <v>266</v>
      </c>
      <c r="D38" s="13" t="s">
        <v>267</v>
      </c>
      <c r="E38" s="36"/>
      <c r="F38" s="741">
        <f>SUM(F39:F42)</f>
        <v>17.5</v>
      </c>
      <c r="G38" s="741">
        <f>SUM(G39:G42)</f>
        <v>6.6</v>
      </c>
      <c r="H38" s="741">
        <f>SUM(H39:H42)</f>
        <v>1.9</v>
      </c>
      <c r="I38" s="741"/>
      <c r="J38" s="741"/>
      <c r="K38" s="189">
        <f>SUM(K39:K42)</f>
        <v>26</v>
      </c>
      <c r="L38" s="282">
        <f>SUM(L39:L43)</f>
        <v>26.099999999999998</v>
      </c>
      <c r="M38" s="742"/>
      <c r="N38" s="743"/>
      <c r="O38" s="741"/>
      <c r="P38" s="741"/>
      <c r="Q38" s="741"/>
      <c r="R38" s="189">
        <f>SUM(R39:R42)</f>
        <v>0</v>
      </c>
      <c r="S38" s="282">
        <f>SUM(S39:S42)</f>
        <v>0</v>
      </c>
      <c r="T38" s="742"/>
      <c r="U38" s="753">
        <f t="shared" si="0"/>
        <v>26</v>
      </c>
      <c r="V38" s="753">
        <f t="shared" si="1"/>
        <v>26.099999999999998</v>
      </c>
      <c r="W38" s="1058">
        <f t="shared" si="2"/>
        <v>100.38461538461539</v>
      </c>
    </row>
    <row r="39" spans="1:23" ht="12" customHeight="1">
      <c r="A39" s="8">
        <f t="shared" si="3"/>
        <v>31</v>
      </c>
      <c r="B39" s="10"/>
      <c r="C39" s="5"/>
      <c r="D39" s="1" t="s">
        <v>21</v>
      </c>
      <c r="E39" s="51" t="s">
        <v>268</v>
      </c>
      <c r="F39" s="747">
        <v>17.5</v>
      </c>
      <c r="G39" s="747"/>
      <c r="H39" s="747"/>
      <c r="I39" s="751"/>
      <c r="J39" s="751"/>
      <c r="K39" s="235">
        <f>SUM(F39:J39)</f>
        <v>17.5</v>
      </c>
      <c r="L39" s="833">
        <v>16.4</v>
      </c>
      <c r="M39" s="857"/>
      <c r="N39" s="858"/>
      <c r="O39" s="859"/>
      <c r="P39" s="859"/>
      <c r="Q39" s="859"/>
      <c r="R39" s="842">
        <f>SUM(M39:Q39)</f>
        <v>0</v>
      </c>
      <c r="S39" s="833">
        <v>0</v>
      </c>
      <c r="T39" s="748"/>
      <c r="U39" s="754">
        <f t="shared" si="0"/>
        <v>17.5</v>
      </c>
      <c r="V39" s="754">
        <f t="shared" si="1"/>
        <v>16.4</v>
      </c>
      <c r="W39" s="1059">
        <f t="shared" si="2"/>
        <v>93.71428571428571</v>
      </c>
    </row>
    <row r="40" spans="1:23" ht="12" customHeight="1">
      <c r="A40" s="8">
        <f t="shared" si="3"/>
        <v>32</v>
      </c>
      <c r="B40" s="10"/>
      <c r="C40" s="5"/>
      <c r="D40" s="1" t="s">
        <v>22</v>
      </c>
      <c r="E40" s="51" t="s">
        <v>181</v>
      </c>
      <c r="F40" s="747"/>
      <c r="G40" s="747">
        <v>6.6</v>
      </c>
      <c r="H40" s="747"/>
      <c r="I40" s="751"/>
      <c r="J40" s="751"/>
      <c r="K40" s="235">
        <f>SUM(F40:J40)</f>
        <v>6.6</v>
      </c>
      <c r="L40" s="833">
        <v>6</v>
      </c>
      <c r="M40" s="857"/>
      <c r="N40" s="858"/>
      <c r="O40" s="859"/>
      <c r="P40" s="859"/>
      <c r="Q40" s="859"/>
      <c r="R40" s="842">
        <f>SUM(M40:Q40)</f>
        <v>0</v>
      </c>
      <c r="S40" s="833">
        <v>0</v>
      </c>
      <c r="T40" s="748"/>
      <c r="U40" s="754">
        <f t="shared" si="0"/>
        <v>6.6</v>
      </c>
      <c r="V40" s="754">
        <f t="shared" si="1"/>
        <v>6</v>
      </c>
      <c r="W40" s="1059">
        <f t="shared" si="2"/>
        <v>90.90909090909092</v>
      </c>
    </row>
    <row r="41" spans="1:23" ht="12" customHeight="1">
      <c r="A41" s="8">
        <f t="shared" si="3"/>
        <v>33</v>
      </c>
      <c r="B41" s="10"/>
      <c r="C41" s="5"/>
      <c r="D41" s="1" t="s">
        <v>23</v>
      </c>
      <c r="E41" s="51" t="s">
        <v>269</v>
      </c>
      <c r="F41" s="747"/>
      <c r="G41" s="747"/>
      <c r="H41" s="747">
        <v>1.7</v>
      </c>
      <c r="I41" s="751"/>
      <c r="J41" s="751"/>
      <c r="K41" s="235">
        <f>SUM(F41:J41)</f>
        <v>1.7</v>
      </c>
      <c r="L41" s="833">
        <v>1.5</v>
      </c>
      <c r="M41" s="857"/>
      <c r="N41" s="858"/>
      <c r="O41" s="859"/>
      <c r="P41" s="859"/>
      <c r="Q41" s="859"/>
      <c r="R41" s="842">
        <f>SUM(M41:Q41)</f>
        <v>0</v>
      </c>
      <c r="S41" s="833">
        <v>0</v>
      </c>
      <c r="T41" s="748"/>
      <c r="U41" s="754">
        <f t="shared" si="0"/>
        <v>1.7</v>
      </c>
      <c r="V41" s="754">
        <f t="shared" si="1"/>
        <v>1.5</v>
      </c>
      <c r="W41" s="1059">
        <f t="shared" si="2"/>
        <v>88.23529411764706</v>
      </c>
    </row>
    <row r="42" spans="1:23" ht="12" customHeight="1">
      <c r="A42" s="8">
        <f t="shared" si="3"/>
        <v>34</v>
      </c>
      <c r="B42" s="10"/>
      <c r="C42" s="5"/>
      <c r="D42" s="1" t="s">
        <v>24</v>
      </c>
      <c r="E42" s="51" t="s">
        <v>182</v>
      </c>
      <c r="F42" s="747"/>
      <c r="G42" s="747"/>
      <c r="H42" s="747">
        <v>0.2</v>
      </c>
      <c r="I42" s="751"/>
      <c r="J42" s="751"/>
      <c r="K42" s="235">
        <f>SUM(F42:J42)</f>
        <v>0.2</v>
      </c>
      <c r="L42" s="833">
        <v>0.2</v>
      </c>
      <c r="M42" s="857"/>
      <c r="N42" s="858"/>
      <c r="O42" s="859"/>
      <c r="P42" s="859"/>
      <c r="Q42" s="859"/>
      <c r="R42" s="842">
        <f>SUM(M42:Q42)</f>
        <v>0</v>
      </c>
      <c r="S42" s="833">
        <v>0</v>
      </c>
      <c r="T42" s="748"/>
      <c r="U42" s="754">
        <f t="shared" si="0"/>
        <v>0.2</v>
      </c>
      <c r="V42" s="754">
        <f t="shared" si="1"/>
        <v>0.2</v>
      </c>
      <c r="W42" s="1059">
        <f t="shared" si="2"/>
        <v>100</v>
      </c>
    </row>
    <row r="43" spans="1:23" ht="12" customHeight="1">
      <c r="A43" s="8">
        <f t="shared" si="3"/>
        <v>35</v>
      </c>
      <c r="B43" s="10"/>
      <c r="C43" s="5"/>
      <c r="D43" s="82" t="s">
        <v>568</v>
      </c>
      <c r="E43" s="51" t="s">
        <v>592</v>
      </c>
      <c r="F43" s="747"/>
      <c r="G43" s="747"/>
      <c r="H43" s="747"/>
      <c r="I43" s="751"/>
      <c r="J43" s="751"/>
      <c r="K43" s="235">
        <f>SUM(F43:J43)</f>
        <v>0</v>
      </c>
      <c r="L43" s="833">
        <v>2</v>
      </c>
      <c r="M43" s="857"/>
      <c r="N43" s="858"/>
      <c r="O43" s="859"/>
      <c r="P43" s="859"/>
      <c r="Q43" s="859"/>
      <c r="R43" s="842">
        <f>SUM(M43:Q43)</f>
        <v>0</v>
      </c>
      <c r="S43" s="833">
        <v>0</v>
      </c>
      <c r="T43" s="748"/>
      <c r="U43" s="754">
        <f>+K43+R43</f>
        <v>0</v>
      </c>
      <c r="V43" s="754">
        <f>+L43+S43</f>
        <v>2</v>
      </c>
      <c r="W43" s="1059"/>
    </row>
    <row r="44" spans="1:23" ht="12" customHeight="1">
      <c r="A44" s="8">
        <f t="shared" si="3"/>
        <v>36</v>
      </c>
      <c r="B44" s="10"/>
      <c r="C44" s="14" t="s">
        <v>3</v>
      </c>
      <c r="D44" s="13" t="s">
        <v>6</v>
      </c>
      <c r="E44" s="36"/>
      <c r="F44" s="741"/>
      <c r="G44" s="741"/>
      <c r="H44" s="741"/>
      <c r="I44" s="741"/>
      <c r="J44" s="741">
        <f>SUM(J45:J45)</f>
        <v>30</v>
      </c>
      <c r="K44" s="189">
        <f>SUM(K45:K45)</f>
        <v>30</v>
      </c>
      <c r="L44" s="282">
        <f>SUM(L45:L45)</f>
        <v>30.5</v>
      </c>
      <c r="M44" s="742"/>
      <c r="N44" s="743"/>
      <c r="O44" s="741"/>
      <c r="P44" s="741"/>
      <c r="Q44" s="741"/>
      <c r="R44" s="189">
        <f>SUM(R45:R45)</f>
        <v>0</v>
      </c>
      <c r="S44" s="282">
        <f>SUM(S45:S45)</f>
        <v>0</v>
      </c>
      <c r="T44" s="742"/>
      <c r="U44" s="753">
        <f t="shared" si="0"/>
        <v>30</v>
      </c>
      <c r="V44" s="753">
        <f t="shared" si="1"/>
        <v>30.5</v>
      </c>
      <c r="W44" s="1058">
        <f t="shared" si="2"/>
        <v>101.66666666666666</v>
      </c>
    </row>
    <row r="45" spans="1:23" ht="12" customHeight="1">
      <c r="A45" s="8">
        <f t="shared" si="3"/>
        <v>37</v>
      </c>
      <c r="B45" s="10"/>
      <c r="C45" s="5"/>
      <c r="D45" s="1" t="s">
        <v>21</v>
      </c>
      <c r="E45" s="7" t="s">
        <v>4</v>
      </c>
      <c r="F45" s="751"/>
      <c r="G45" s="751"/>
      <c r="H45" s="751"/>
      <c r="I45" s="751"/>
      <c r="J45" s="747">
        <v>30</v>
      </c>
      <c r="K45" s="235">
        <f>SUM(F45:J45)</f>
        <v>30</v>
      </c>
      <c r="L45" s="439">
        <v>30.5</v>
      </c>
      <c r="M45" s="748"/>
      <c r="N45" s="750"/>
      <c r="O45" s="751"/>
      <c r="P45" s="751"/>
      <c r="Q45" s="751"/>
      <c r="R45" s="235">
        <f>SUM(M45:Q45)</f>
        <v>0</v>
      </c>
      <c r="S45" s="439">
        <v>0</v>
      </c>
      <c r="T45" s="748"/>
      <c r="U45" s="754">
        <f t="shared" si="0"/>
        <v>30</v>
      </c>
      <c r="V45" s="754">
        <f t="shared" si="1"/>
        <v>30.5</v>
      </c>
      <c r="W45" s="1059">
        <f t="shared" si="2"/>
        <v>101.66666666666666</v>
      </c>
    </row>
    <row r="46" spans="1:23" ht="12" customHeight="1">
      <c r="A46" s="8">
        <f t="shared" si="3"/>
        <v>38</v>
      </c>
      <c r="B46" s="10"/>
      <c r="C46" s="14" t="s">
        <v>13</v>
      </c>
      <c r="D46" s="13" t="s">
        <v>5</v>
      </c>
      <c r="E46" s="36"/>
      <c r="F46" s="741"/>
      <c r="G46" s="741"/>
      <c r="H46" s="741">
        <f>SUM(H47:H49)</f>
        <v>15.4</v>
      </c>
      <c r="I46" s="741"/>
      <c r="J46" s="741"/>
      <c r="K46" s="189">
        <f>SUM(K47:K49)</f>
        <v>15.4</v>
      </c>
      <c r="L46" s="744">
        <f>SUM(L47:L49)</f>
        <v>16.1</v>
      </c>
      <c r="M46" s="742"/>
      <c r="N46" s="743"/>
      <c r="O46" s="741"/>
      <c r="P46" s="741"/>
      <c r="Q46" s="741"/>
      <c r="R46" s="189">
        <f>SUM(R47:R49)</f>
        <v>0</v>
      </c>
      <c r="S46" s="744">
        <f>SUM(S47:S49)</f>
        <v>0</v>
      </c>
      <c r="T46" s="742"/>
      <c r="U46" s="755">
        <f t="shared" si="0"/>
        <v>15.4</v>
      </c>
      <c r="V46" s="755">
        <f t="shared" si="1"/>
        <v>16.1</v>
      </c>
      <c r="W46" s="1060">
        <f t="shared" si="2"/>
        <v>104.54545454545455</v>
      </c>
    </row>
    <row r="47" spans="1:23" ht="12" customHeight="1">
      <c r="A47" s="8">
        <f t="shared" si="3"/>
        <v>39</v>
      </c>
      <c r="B47" s="10"/>
      <c r="C47" s="73"/>
      <c r="D47" s="76" t="s">
        <v>21</v>
      </c>
      <c r="E47" s="77" t="s">
        <v>250</v>
      </c>
      <c r="F47" s="756"/>
      <c r="G47" s="756"/>
      <c r="H47" s="757">
        <v>3.5</v>
      </c>
      <c r="I47" s="756"/>
      <c r="J47" s="756"/>
      <c r="K47" s="235">
        <f>SUM(F47:J47)</f>
        <v>3.5</v>
      </c>
      <c r="L47" s="752">
        <v>3.5</v>
      </c>
      <c r="M47" s="748"/>
      <c r="N47" s="750"/>
      <c r="O47" s="751"/>
      <c r="P47" s="751"/>
      <c r="Q47" s="751"/>
      <c r="R47" s="235">
        <f>SUM(M47:Q47)</f>
        <v>0</v>
      </c>
      <c r="S47" s="752">
        <v>0</v>
      </c>
      <c r="T47" s="748"/>
      <c r="U47" s="749">
        <f t="shared" si="0"/>
        <v>3.5</v>
      </c>
      <c r="V47" s="749">
        <f t="shared" si="1"/>
        <v>3.5</v>
      </c>
      <c r="W47" s="1057">
        <f t="shared" si="2"/>
        <v>100</v>
      </c>
    </row>
    <row r="48" spans="1:23" ht="12" customHeight="1" thickBot="1">
      <c r="A48" s="8">
        <f t="shared" si="3"/>
        <v>40</v>
      </c>
      <c r="B48" s="78"/>
      <c r="C48" s="5"/>
      <c r="D48" s="45">
        <f>D47+1</f>
        <v>2</v>
      </c>
      <c r="E48" s="7" t="s">
        <v>251</v>
      </c>
      <c r="F48" s="751"/>
      <c r="G48" s="751"/>
      <c r="H48" s="747">
        <v>6</v>
      </c>
      <c r="I48" s="751"/>
      <c r="J48" s="751"/>
      <c r="K48" s="235">
        <f>SUM(F48:J48)</f>
        <v>6</v>
      </c>
      <c r="L48" s="752">
        <v>6.7</v>
      </c>
      <c r="M48" s="758"/>
      <c r="N48" s="750"/>
      <c r="O48" s="751"/>
      <c r="P48" s="751"/>
      <c r="Q48" s="751"/>
      <c r="R48" s="235">
        <f>SUM(M48:Q48)</f>
        <v>0</v>
      </c>
      <c r="S48" s="752">
        <v>0</v>
      </c>
      <c r="T48" s="781"/>
      <c r="U48" s="754">
        <f t="shared" si="0"/>
        <v>6</v>
      </c>
      <c r="V48" s="759">
        <f t="shared" si="1"/>
        <v>6.7</v>
      </c>
      <c r="W48" s="1061">
        <f t="shared" si="2"/>
        <v>111.66666666666667</v>
      </c>
    </row>
    <row r="49" spans="1:23" ht="12" customHeight="1" thickBot="1">
      <c r="A49" s="9">
        <f t="shared" si="3"/>
        <v>41</v>
      </c>
      <c r="B49" s="29"/>
      <c r="C49" s="79"/>
      <c r="D49" s="75">
        <f>D48+1</f>
        <v>3</v>
      </c>
      <c r="E49" s="80" t="s">
        <v>539</v>
      </c>
      <c r="F49" s="760"/>
      <c r="G49" s="760"/>
      <c r="H49" s="761">
        <v>5.9</v>
      </c>
      <c r="I49" s="760"/>
      <c r="J49" s="760"/>
      <c r="K49" s="236">
        <f>SUM(F49:J49)</f>
        <v>5.9</v>
      </c>
      <c r="L49" s="762">
        <v>5.9</v>
      </c>
      <c r="M49" s="758"/>
      <c r="N49" s="763"/>
      <c r="O49" s="760"/>
      <c r="P49" s="760"/>
      <c r="Q49" s="760"/>
      <c r="R49" s="236">
        <f>SUM(M49:Q49)</f>
        <v>0</v>
      </c>
      <c r="S49" s="762">
        <v>0</v>
      </c>
      <c r="T49" s="758"/>
      <c r="U49" s="784">
        <f t="shared" si="0"/>
        <v>5.9</v>
      </c>
      <c r="V49" s="764">
        <f t="shared" si="1"/>
        <v>5.9</v>
      </c>
      <c r="W49" s="1062">
        <f t="shared" si="2"/>
        <v>100</v>
      </c>
    </row>
    <row r="50" spans="1:23" ht="12" customHeight="1">
      <c r="A50" s="771">
        <f t="shared" si="3"/>
        <v>42</v>
      </c>
      <c r="B50" s="772"/>
      <c r="C50" s="773" t="s">
        <v>540</v>
      </c>
      <c r="D50" s="774" t="s">
        <v>271</v>
      </c>
      <c r="E50" s="775"/>
      <c r="F50" s="776">
        <f>SUM(F51:F55)</f>
        <v>1.7</v>
      </c>
      <c r="G50" s="776">
        <f>SUM(G51:G55)</f>
        <v>0.6</v>
      </c>
      <c r="H50" s="776">
        <f>SUM(H51:H55)</f>
        <v>2.3</v>
      </c>
      <c r="I50" s="776"/>
      <c r="J50" s="776"/>
      <c r="K50" s="777">
        <f>SUM(K51:K55)</f>
        <v>4.6000000000000005</v>
      </c>
      <c r="L50" s="778">
        <f>SUM(L51:L55)</f>
        <v>4.6000000000000005</v>
      </c>
      <c r="M50" s="742"/>
      <c r="N50" s="779"/>
      <c r="O50" s="776"/>
      <c r="P50" s="776"/>
      <c r="Q50" s="776"/>
      <c r="R50" s="777">
        <f>SUM(R51:R55)</f>
        <v>0</v>
      </c>
      <c r="S50" s="778">
        <f>SUM(S51:S55)</f>
        <v>0</v>
      </c>
      <c r="T50" s="742"/>
      <c r="U50" s="780">
        <f t="shared" si="0"/>
        <v>4.6000000000000005</v>
      </c>
      <c r="V50" s="780">
        <f t="shared" si="1"/>
        <v>4.6000000000000005</v>
      </c>
      <c r="W50" s="1063">
        <f t="shared" si="2"/>
        <v>100</v>
      </c>
    </row>
    <row r="51" spans="1:23" ht="12" customHeight="1">
      <c r="A51" s="81">
        <f t="shared" si="3"/>
        <v>43</v>
      </c>
      <c r="B51" s="10"/>
      <c r="C51" s="5"/>
      <c r="D51" s="82" t="s">
        <v>21</v>
      </c>
      <c r="E51" s="51" t="s">
        <v>541</v>
      </c>
      <c r="F51" s="538">
        <v>1.7</v>
      </c>
      <c r="G51" s="538"/>
      <c r="H51" s="538"/>
      <c r="I51" s="537"/>
      <c r="J51" s="537"/>
      <c r="K51" s="235">
        <f>SUM(F51:J51)</f>
        <v>1.7</v>
      </c>
      <c r="L51" s="752">
        <v>1.7</v>
      </c>
      <c r="M51" s="765"/>
      <c r="N51" s="766"/>
      <c r="O51" s="537"/>
      <c r="P51" s="537"/>
      <c r="Q51" s="537"/>
      <c r="R51" s="235">
        <f>SUM(M51:Q51)</f>
        <v>0</v>
      </c>
      <c r="S51" s="752">
        <v>0</v>
      </c>
      <c r="T51" s="765"/>
      <c r="U51" s="754">
        <f t="shared" si="0"/>
        <v>1.7</v>
      </c>
      <c r="V51" s="754">
        <f t="shared" si="1"/>
        <v>1.7</v>
      </c>
      <c r="W51" s="1059">
        <f t="shared" si="2"/>
        <v>100</v>
      </c>
    </row>
    <row r="52" spans="1:23" ht="12" customHeight="1">
      <c r="A52" s="81">
        <f t="shared" si="3"/>
        <v>44</v>
      </c>
      <c r="B52" s="10"/>
      <c r="C52" s="5"/>
      <c r="D52" s="82" t="s">
        <v>22</v>
      </c>
      <c r="E52" s="51" t="s">
        <v>273</v>
      </c>
      <c r="F52" s="538"/>
      <c r="G52" s="538">
        <v>0.6</v>
      </c>
      <c r="H52" s="538"/>
      <c r="I52" s="537"/>
      <c r="J52" s="537"/>
      <c r="K52" s="235">
        <f>SUM(F52:J52)</f>
        <v>0.6</v>
      </c>
      <c r="L52" s="752">
        <v>0.6</v>
      </c>
      <c r="M52" s="765"/>
      <c r="N52" s="766"/>
      <c r="O52" s="537"/>
      <c r="P52" s="537"/>
      <c r="Q52" s="537"/>
      <c r="R52" s="235">
        <f>SUM(M52:Q52)</f>
        <v>0</v>
      </c>
      <c r="S52" s="752">
        <v>0</v>
      </c>
      <c r="T52" s="765"/>
      <c r="U52" s="754">
        <f t="shared" si="0"/>
        <v>0.6</v>
      </c>
      <c r="V52" s="754">
        <f t="shared" si="1"/>
        <v>0.6</v>
      </c>
      <c r="W52" s="1059">
        <f t="shared" si="2"/>
        <v>100</v>
      </c>
    </row>
    <row r="53" spans="1:23" ht="12" customHeight="1">
      <c r="A53" s="81">
        <f t="shared" si="3"/>
        <v>45</v>
      </c>
      <c r="B53" s="10"/>
      <c r="C53" s="5"/>
      <c r="D53" s="82" t="s">
        <v>23</v>
      </c>
      <c r="E53" s="51" t="s">
        <v>274</v>
      </c>
      <c r="F53" s="538"/>
      <c r="G53" s="538"/>
      <c r="H53" s="538">
        <v>0.7</v>
      </c>
      <c r="I53" s="537"/>
      <c r="J53" s="537"/>
      <c r="K53" s="235">
        <f>SUM(F53:J53)</f>
        <v>0.7</v>
      </c>
      <c r="L53" s="752">
        <v>0.7</v>
      </c>
      <c r="M53" s="765"/>
      <c r="N53" s="766"/>
      <c r="O53" s="537"/>
      <c r="P53" s="537"/>
      <c r="Q53" s="537"/>
      <c r="R53" s="235">
        <f>SUM(M53:Q53)</f>
        <v>0</v>
      </c>
      <c r="S53" s="752">
        <v>0</v>
      </c>
      <c r="T53" s="765"/>
      <c r="U53" s="754">
        <f t="shared" si="0"/>
        <v>0.7</v>
      </c>
      <c r="V53" s="754">
        <f t="shared" si="1"/>
        <v>0.7</v>
      </c>
      <c r="W53" s="1059">
        <f t="shared" si="2"/>
        <v>100</v>
      </c>
    </row>
    <row r="54" spans="1:23" ht="12" customHeight="1">
      <c r="A54" s="81">
        <f t="shared" si="3"/>
        <v>46</v>
      </c>
      <c r="B54" s="10"/>
      <c r="C54" s="5"/>
      <c r="D54" s="82" t="s">
        <v>24</v>
      </c>
      <c r="E54" s="51" t="s">
        <v>275</v>
      </c>
      <c r="F54" s="538"/>
      <c r="G54" s="538"/>
      <c r="H54" s="451">
        <v>1.4</v>
      </c>
      <c r="I54" s="537"/>
      <c r="J54" s="537"/>
      <c r="K54" s="235">
        <f>SUM(F54:J54)</f>
        <v>1.4</v>
      </c>
      <c r="L54" s="752">
        <v>1.4</v>
      </c>
      <c r="M54" s="765"/>
      <c r="N54" s="766"/>
      <c r="O54" s="537"/>
      <c r="P54" s="537"/>
      <c r="Q54" s="537"/>
      <c r="R54" s="235">
        <f>SUM(M54:Q54)</f>
        <v>0</v>
      </c>
      <c r="S54" s="752">
        <v>0</v>
      </c>
      <c r="T54" s="765"/>
      <c r="U54" s="754">
        <f t="shared" si="0"/>
        <v>1.4</v>
      </c>
      <c r="V54" s="754">
        <f t="shared" si="1"/>
        <v>1.4</v>
      </c>
      <c r="W54" s="1059">
        <f t="shared" si="2"/>
        <v>100</v>
      </c>
    </row>
    <row r="55" spans="1:23" ht="12" customHeight="1" thickBot="1">
      <c r="A55" s="89">
        <f t="shared" si="3"/>
        <v>47</v>
      </c>
      <c r="B55" s="29"/>
      <c r="C55" s="25"/>
      <c r="D55" s="90" t="s">
        <v>542</v>
      </c>
      <c r="E55" s="55" t="s">
        <v>276</v>
      </c>
      <c r="F55" s="768"/>
      <c r="G55" s="768"/>
      <c r="H55" s="452">
        <v>0.2</v>
      </c>
      <c r="I55" s="539"/>
      <c r="J55" s="539"/>
      <c r="K55" s="236">
        <f>SUM(F55:J55)</f>
        <v>0.2</v>
      </c>
      <c r="L55" s="793">
        <v>0.2</v>
      </c>
      <c r="M55" s="769"/>
      <c r="N55" s="770"/>
      <c r="O55" s="539"/>
      <c r="P55" s="539"/>
      <c r="Q55" s="539"/>
      <c r="R55" s="236">
        <f>SUM(M55:Q55)</f>
        <v>0</v>
      </c>
      <c r="S55" s="793">
        <v>0</v>
      </c>
      <c r="T55" s="769"/>
      <c r="U55" s="767">
        <f t="shared" si="0"/>
        <v>0.2</v>
      </c>
      <c r="V55" s="767">
        <f t="shared" si="1"/>
        <v>0.2</v>
      </c>
      <c r="W55" s="1064">
        <f t="shared" si="2"/>
        <v>100</v>
      </c>
    </row>
    <row r="56" ht="12.75"/>
  </sheetData>
  <sheetProtection/>
  <mergeCells count="19">
    <mergeCell ref="F7:F8"/>
    <mergeCell ref="G7:G8"/>
    <mergeCell ref="O7:O8"/>
    <mergeCell ref="P7:P8"/>
    <mergeCell ref="H7:H8"/>
    <mergeCell ref="I7:I8"/>
    <mergeCell ref="J7:J8"/>
    <mergeCell ref="N7:N8"/>
    <mergeCell ref="L7:L8"/>
    <mergeCell ref="R7:R8"/>
    <mergeCell ref="K7:K8"/>
    <mergeCell ref="A4:L4"/>
    <mergeCell ref="W7:W8"/>
    <mergeCell ref="Q7:Q8"/>
    <mergeCell ref="S7:S8"/>
    <mergeCell ref="B5:L5"/>
    <mergeCell ref="E6:L6"/>
    <mergeCell ref="N5:S5"/>
    <mergeCell ref="N6:S6"/>
  </mergeCells>
  <printOptions horizontalCentered="1"/>
  <pageMargins left="0.35433070866141736" right="0.1968503937007874" top="0.35433070866141736" bottom="0.3937007874015748" header="0.2362204724409449" footer="0.15748031496062992"/>
  <pageSetup horizontalDpi="600" verticalDpi="600" orientation="landscape" paperSize="9" scale="82" r:id="rId3"/>
  <headerFooter alignWithMargins="0">
    <oddHeader>&amp;CPlnenie programového rozpočtu mesta Svidník v roku  2010 (v tis. €)</oddHeader>
    <oddFooter>&amp;C&amp;A -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07"/>
  <sheetViews>
    <sheetView zoomScale="120" zoomScaleNormal="120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5.421875" style="150" customWidth="1"/>
    <col min="2" max="2" width="3.00390625" style="150" customWidth="1"/>
    <col min="3" max="3" width="52.57421875" style="150" customWidth="1"/>
    <col min="4" max="4" width="11.140625" style="150" customWidth="1"/>
    <col min="5" max="16384" width="9.140625" style="150" customWidth="1"/>
  </cols>
  <sheetData>
    <row r="1" ht="9" customHeight="1">
      <c r="B1" s="881"/>
    </row>
    <row r="2" ht="13.5" thickBot="1"/>
    <row r="3" spans="2:6" ht="12.75" customHeight="1">
      <c r="B3" s="1227" t="s">
        <v>52</v>
      </c>
      <c r="C3" s="1228"/>
      <c r="D3" s="920"/>
      <c r="E3" s="37"/>
      <c r="F3" s="37" t="s">
        <v>560</v>
      </c>
    </row>
    <row r="4" spans="2:6" ht="12.75">
      <c r="B4" s="1229"/>
      <c r="C4" s="1230"/>
      <c r="D4" s="921" t="s">
        <v>109</v>
      </c>
      <c r="E4" s="38" t="s">
        <v>572</v>
      </c>
      <c r="F4" s="38" t="s">
        <v>578</v>
      </c>
    </row>
    <row r="5" spans="2:6" ht="12.75">
      <c r="B5" s="1229"/>
      <c r="C5" s="1230"/>
      <c r="D5" s="921" t="s">
        <v>49</v>
      </c>
      <c r="E5" s="38" t="s">
        <v>559</v>
      </c>
      <c r="F5" s="38" t="s">
        <v>559</v>
      </c>
    </row>
    <row r="6" spans="2:6" ht="15.75" customHeight="1" thickBot="1">
      <c r="B6" s="1231"/>
      <c r="C6" s="1232"/>
      <c r="D6" s="922">
        <v>2010</v>
      </c>
      <c r="E6" s="39">
        <v>2010</v>
      </c>
      <c r="F6" s="39">
        <v>2010</v>
      </c>
    </row>
    <row r="7" spans="2:6" ht="16.5" customHeight="1" thickTop="1">
      <c r="B7" s="882">
        <v>1</v>
      </c>
      <c r="C7" s="904" t="s">
        <v>53</v>
      </c>
      <c r="D7" s="923">
        <f>'Príjmy 2010'!H62</f>
        <v>6501.399999999999</v>
      </c>
      <c r="E7" s="890">
        <f>+'Príjmy 2010'!I62</f>
        <v>5787.4</v>
      </c>
      <c r="F7" s="1088">
        <f>+E7/D7*100</f>
        <v>89.01775002307197</v>
      </c>
    </row>
    <row r="8" spans="2:6" ht="16.5" customHeight="1">
      <c r="B8" s="883">
        <f>B7+1</f>
        <v>2</v>
      </c>
      <c r="C8" s="905" t="s">
        <v>54</v>
      </c>
      <c r="D8" s="924">
        <f>SUM(D10:D21)</f>
        <v>5773.003</v>
      </c>
      <c r="E8" s="891">
        <f>SUM(E10:E21)</f>
        <v>5787.800000000001</v>
      </c>
      <c r="F8" s="1089">
        <f aca="true" t="shared" si="0" ref="F8:F49">+E8/D8*100</f>
        <v>100.25631374173894</v>
      </c>
    </row>
    <row r="9" spans="2:6" ht="15.75" customHeight="1">
      <c r="B9" s="884">
        <f>B8+1</f>
        <v>3</v>
      </c>
      <c r="C9" s="906" t="s">
        <v>61</v>
      </c>
      <c r="D9" s="925"/>
      <c r="E9" s="892"/>
      <c r="F9" s="1090"/>
    </row>
    <row r="10" spans="2:6" ht="15.75" customHeight="1">
      <c r="B10" s="884">
        <f>B9+1</f>
        <v>4</v>
      </c>
      <c r="C10" s="907" t="s">
        <v>62</v>
      </c>
      <c r="D10" s="925">
        <f>'P1'!L9</f>
        <v>34.9</v>
      </c>
      <c r="E10" s="892">
        <f>'P1'!M9</f>
        <v>40</v>
      </c>
      <c r="F10" s="1090">
        <f t="shared" si="0"/>
        <v>114.61318051575932</v>
      </c>
    </row>
    <row r="11" spans="2:6" ht="15.75" customHeight="1">
      <c r="B11" s="884">
        <f aca="true" t="shared" si="1" ref="B11:B36">B10+1</f>
        <v>5</v>
      </c>
      <c r="C11" s="908" t="s">
        <v>252</v>
      </c>
      <c r="D11" s="925">
        <f>'P2'!K9</f>
        <v>197.7</v>
      </c>
      <c r="E11" s="892">
        <f>'P2'!L9</f>
        <v>199.7</v>
      </c>
      <c r="F11" s="1090">
        <f t="shared" si="0"/>
        <v>101.01163378856855</v>
      </c>
    </row>
    <row r="12" spans="2:6" ht="15.75" customHeight="1">
      <c r="B12" s="884">
        <f t="shared" si="1"/>
        <v>6</v>
      </c>
      <c r="C12" s="908" t="s">
        <v>253</v>
      </c>
      <c r="D12" s="925">
        <f>'P3'!K9</f>
        <v>628</v>
      </c>
      <c r="E12" s="892">
        <f>'P3'!L9</f>
        <v>598.8</v>
      </c>
      <c r="F12" s="1090">
        <f t="shared" si="0"/>
        <v>95.35031847133757</v>
      </c>
    </row>
    <row r="13" spans="2:6" ht="15.75" customHeight="1">
      <c r="B13" s="884">
        <f t="shared" si="1"/>
        <v>7</v>
      </c>
      <c r="C13" s="908" t="s">
        <v>254</v>
      </c>
      <c r="D13" s="926">
        <f>'P4'!J9</f>
        <v>101.1</v>
      </c>
      <c r="E13" s="893">
        <f>'P4'!K9</f>
        <v>97.00000000000001</v>
      </c>
      <c r="F13" s="1091">
        <f t="shared" si="0"/>
        <v>95.94460929772505</v>
      </c>
    </row>
    <row r="14" spans="2:6" ht="15.75" customHeight="1">
      <c r="B14" s="884">
        <f t="shared" si="1"/>
        <v>8</v>
      </c>
      <c r="C14" s="908" t="s">
        <v>255</v>
      </c>
      <c r="D14" s="926">
        <f>'P5'!K9</f>
        <v>250</v>
      </c>
      <c r="E14" s="893">
        <f>'P5'!L9</f>
        <v>252</v>
      </c>
      <c r="F14" s="1091">
        <f t="shared" si="0"/>
        <v>100.8</v>
      </c>
    </row>
    <row r="15" spans="2:6" ht="15.75" customHeight="1">
      <c r="B15" s="884">
        <f t="shared" si="1"/>
        <v>9</v>
      </c>
      <c r="C15" s="908" t="s">
        <v>256</v>
      </c>
      <c r="D15" s="926">
        <f>'P6'!J9</f>
        <v>15.9</v>
      </c>
      <c r="E15" s="893">
        <f>'P6'!K9</f>
        <v>13.3</v>
      </c>
      <c r="F15" s="1091">
        <f t="shared" si="0"/>
        <v>83.64779874213836</v>
      </c>
    </row>
    <row r="16" spans="2:6" ht="15.75" customHeight="1">
      <c r="B16" s="884">
        <f t="shared" si="1"/>
        <v>10</v>
      </c>
      <c r="C16" s="908" t="s">
        <v>263</v>
      </c>
      <c r="D16" s="926">
        <f>'P7'!K9</f>
        <v>50</v>
      </c>
      <c r="E16" s="893">
        <f>'P7'!L9</f>
        <v>52.3</v>
      </c>
      <c r="F16" s="1091">
        <f t="shared" si="0"/>
        <v>104.60000000000001</v>
      </c>
    </row>
    <row r="17" spans="2:6" ht="15.75" customHeight="1">
      <c r="B17" s="884">
        <f t="shared" si="1"/>
        <v>11</v>
      </c>
      <c r="C17" s="908" t="s">
        <v>258</v>
      </c>
      <c r="D17" s="926">
        <f>'P8'!J9</f>
        <v>2858.5029999999997</v>
      </c>
      <c r="E17" s="893">
        <f>'P8'!K9</f>
        <v>2905.9</v>
      </c>
      <c r="F17" s="1091">
        <f t="shared" si="0"/>
        <v>101.65810565880113</v>
      </c>
    </row>
    <row r="18" spans="2:6" ht="15.75" customHeight="1">
      <c r="B18" s="884">
        <f t="shared" si="1"/>
        <v>12</v>
      </c>
      <c r="C18" s="908" t="s">
        <v>259</v>
      </c>
      <c r="D18" s="926">
        <f>'P9'!K10</f>
        <v>181.3</v>
      </c>
      <c r="E18" s="893">
        <f>'P9'!L10</f>
        <v>172.60000000000002</v>
      </c>
      <c r="F18" s="1091">
        <f t="shared" si="0"/>
        <v>95.20132377275236</v>
      </c>
    </row>
    <row r="19" spans="2:6" ht="15.75" customHeight="1">
      <c r="B19" s="884">
        <f t="shared" si="1"/>
        <v>13</v>
      </c>
      <c r="C19" s="908" t="s">
        <v>260</v>
      </c>
      <c r="D19" s="926">
        <f>'P10'!J10</f>
        <v>148.4</v>
      </c>
      <c r="E19" s="893">
        <f>'P10'!K10</f>
        <v>128.1</v>
      </c>
      <c r="F19" s="1091">
        <f t="shared" si="0"/>
        <v>86.32075471698113</v>
      </c>
    </row>
    <row r="20" spans="2:6" ht="15.75" customHeight="1">
      <c r="B20" s="884">
        <f t="shared" si="1"/>
        <v>14</v>
      </c>
      <c r="C20" s="908" t="s">
        <v>261</v>
      </c>
      <c r="D20" s="926">
        <f>'P11'!J9</f>
        <v>283.20000000000005</v>
      </c>
      <c r="E20" s="893">
        <f>'P11'!K9</f>
        <v>289.29999999999995</v>
      </c>
      <c r="F20" s="1091">
        <f t="shared" si="0"/>
        <v>102.15395480225986</v>
      </c>
    </row>
    <row r="21" spans="2:6" ht="15.75" customHeight="1">
      <c r="B21" s="884">
        <f t="shared" si="1"/>
        <v>15</v>
      </c>
      <c r="C21" s="908" t="s">
        <v>262</v>
      </c>
      <c r="D21" s="926">
        <f>'P12'!K9</f>
        <v>1023.9999999999999</v>
      </c>
      <c r="E21" s="893">
        <f>'P12'!L9</f>
        <v>1038.8000000000002</v>
      </c>
      <c r="F21" s="1091">
        <f t="shared" si="0"/>
        <v>101.44531250000004</v>
      </c>
    </row>
    <row r="22" spans="2:6" ht="16.5" customHeight="1">
      <c r="B22" s="884">
        <f t="shared" si="1"/>
        <v>16</v>
      </c>
      <c r="C22" s="909" t="s">
        <v>589</v>
      </c>
      <c r="D22" s="1233">
        <f>D7-D8</f>
        <v>728.396999999999</v>
      </c>
      <c r="E22" s="1233">
        <f>E7-E8</f>
        <v>-0.4000000000014552</v>
      </c>
      <c r="F22" s="1235"/>
    </row>
    <row r="23" spans="2:6" ht="16.5" customHeight="1">
      <c r="B23" s="884">
        <f t="shared" si="1"/>
        <v>17</v>
      </c>
      <c r="C23" s="910" t="s">
        <v>55</v>
      </c>
      <c r="D23" s="1234"/>
      <c r="E23" s="1234"/>
      <c r="F23" s="1236"/>
    </row>
    <row r="24" spans="2:6" ht="16.5" customHeight="1">
      <c r="B24" s="884">
        <f t="shared" si="1"/>
        <v>18</v>
      </c>
      <c r="C24" s="911" t="s">
        <v>56</v>
      </c>
      <c r="D24" s="927">
        <f>'Príjmy 2010'!H63</f>
        <v>4033.2</v>
      </c>
      <c r="E24" s="894">
        <f>'Príjmy 2010'!I63</f>
        <v>1966.7</v>
      </c>
      <c r="F24" s="1092">
        <f t="shared" si="0"/>
        <v>48.762769017157595</v>
      </c>
    </row>
    <row r="25" spans="2:6" ht="16.5" customHeight="1">
      <c r="B25" s="884">
        <f t="shared" si="1"/>
        <v>19</v>
      </c>
      <c r="C25" s="911" t="s">
        <v>57</v>
      </c>
      <c r="D25" s="927">
        <f>SUM(D27:D38)</f>
        <v>3080.377</v>
      </c>
      <c r="E25" s="894">
        <f>SUM(E27:E38)</f>
        <v>2842.2</v>
      </c>
      <c r="F25" s="1092">
        <f t="shared" si="0"/>
        <v>92.26792694530572</v>
      </c>
    </row>
    <row r="26" spans="2:6" ht="15.75" customHeight="1">
      <c r="B26" s="884">
        <f t="shared" si="1"/>
        <v>20</v>
      </c>
      <c r="C26" s="906" t="s">
        <v>61</v>
      </c>
      <c r="D26" s="928"/>
      <c r="E26" s="895"/>
      <c r="F26" s="1093"/>
    </row>
    <row r="27" spans="2:6" ht="15.75" customHeight="1">
      <c r="B27" s="884">
        <f t="shared" si="1"/>
        <v>21</v>
      </c>
      <c r="C27" s="907" t="s">
        <v>62</v>
      </c>
      <c r="D27" s="929">
        <f>'P1'!S9</f>
        <v>81</v>
      </c>
      <c r="E27" s="896">
        <f>'P1'!T9</f>
        <v>46.1</v>
      </c>
      <c r="F27" s="1094">
        <f t="shared" si="0"/>
        <v>56.91358024691359</v>
      </c>
    </row>
    <row r="28" spans="2:6" ht="15.75" customHeight="1">
      <c r="B28" s="884">
        <f t="shared" si="1"/>
        <v>22</v>
      </c>
      <c r="C28" s="908" t="s">
        <v>252</v>
      </c>
      <c r="D28" s="930">
        <f>'P2'!R9</f>
        <v>0</v>
      </c>
      <c r="E28" s="897">
        <f>'P2'!S9</f>
        <v>0</v>
      </c>
      <c r="F28" s="1095">
        <v>0</v>
      </c>
    </row>
    <row r="29" spans="2:6" ht="15.75" customHeight="1">
      <c r="B29" s="884">
        <f t="shared" si="1"/>
        <v>23</v>
      </c>
      <c r="C29" s="908" t="s">
        <v>253</v>
      </c>
      <c r="D29" s="930">
        <f>'P3'!S9</f>
        <v>0</v>
      </c>
      <c r="E29" s="897">
        <f>'P3'!T9</f>
        <v>423.2</v>
      </c>
      <c r="F29" s="1095">
        <v>0</v>
      </c>
    </row>
    <row r="30" spans="2:6" ht="15.75" customHeight="1">
      <c r="B30" s="884">
        <f t="shared" si="1"/>
        <v>24</v>
      </c>
      <c r="C30" s="908" t="s">
        <v>254</v>
      </c>
      <c r="D30" s="930">
        <f>'P4'!R9</f>
        <v>0</v>
      </c>
      <c r="E30" s="897">
        <f>'P4'!S9</f>
        <v>0</v>
      </c>
      <c r="F30" s="1095">
        <v>0</v>
      </c>
    </row>
    <row r="31" spans="2:6" ht="15.75" customHeight="1">
      <c r="B31" s="884">
        <f t="shared" si="1"/>
        <v>25</v>
      </c>
      <c r="C31" s="908" t="s">
        <v>255</v>
      </c>
      <c r="D31" s="930">
        <f>'P5'!R9</f>
        <v>0</v>
      </c>
      <c r="E31" s="897">
        <f>'P5'!S9</f>
        <v>0</v>
      </c>
      <c r="F31" s="1095">
        <v>0</v>
      </c>
    </row>
    <row r="32" spans="2:6" ht="15.75" customHeight="1">
      <c r="B32" s="884">
        <f t="shared" si="1"/>
        <v>26</v>
      </c>
      <c r="C32" s="908" t="s">
        <v>256</v>
      </c>
      <c r="D32" s="930">
        <f>'P6'!Q9</f>
        <v>0</v>
      </c>
      <c r="E32" s="897">
        <f>'P6'!R9</f>
        <v>0</v>
      </c>
      <c r="F32" s="1095">
        <v>0</v>
      </c>
    </row>
    <row r="33" spans="2:6" ht="15.75" customHeight="1">
      <c r="B33" s="884">
        <f t="shared" si="1"/>
        <v>27</v>
      </c>
      <c r="C33" s="908" t="s">
        <v>257</v>
      </c>
      <c r="D33" s="930">
        <f>'P7'!R9</f>
        <v>7.5</v>
      </c>
      <c r="E33" s="897">
        <f>'P7'!S9</f>
        <v>0</v>
      </c>
      <c r="F33" s="1095">
        <f t="shared" si="0"/>
        <v>0</v>
      </c>
    </row>
    <row r="34" spans="2:6" ht="15.75" customHeight="1">
      <c r="B34" s="884">
        <f t="shared" si="1"/>
        <v>28</v>
      </c>
      <c r="C34" s="908" t="s">
        <v>258</v>
      </c>
      <c r="D34" s="930">
        <f>'P8'!R9</f>
        <v>1367.977</v>
      </c>
      <c r="E34" s="897">
        <f>'P8'!S9</f>
        <v>1341.7</v>
      </c>
      <c r="F34" s="1095">
        <f t="shared" si="0"/>
        <v>98.07913437141121</v>
      </c>
    </row>
    <row r="35" spans="2:6" ht="15.75" customHeight="1">
      <c r="B35" s="884">
        <f t="shared" si="1"/>
        <v>29</v>
      </c>
      <c r="C35" s="908" t="s">
        <v>259</v>
      </c>
      <c r="D35" s="930">
        <f>'P9'!Q10</f>
        <v>476</v>
      </c>
      <c r="E35" s="897">
        <f>'P9'!R10</f>
        <v>476</v>
      </c>
      <c r="F35" s="1095">
        <v>0</v>
      </c>
    </row>
    <row r="36" spans="2:6" ht="15.75" customHeight="1">
      <c r="B36" s="884">
        <f t="shared" si="1"/>
        <v>30</v>
      </c>
      <c r="C36" s="908" t="s">
        <v>260</v>
      </c>
      <c r="D36" s="930">
        <f>'P10'!Q10</f>
        <v>1147.8999999999999</v>
      </c>
      <c r="E36" s="897">
        <f>'P10'!R10</f>
        <v>555.1999999999999</v>
      </c>
      <c r="F36" s="1095">
        <f t="shared" si="0"/>
        <v>48.366582454917676</v>
      </c>
    </row>
    <row r="37" spans="2:6" ht="15.75" customHeight="1">
      <c r="B37" s="884">
        <f aca="true" t="shared" si="2" ref="B37:B50">B36+1</f>
        <v>31</v>
      </c>
      <c r="C37" s="908" t="s">
        <v>261</v>
      </c>
      <c r="D37" s="929">
        <f>'P11'!Q9</f>
        <v>0</v>
      </c>
      <c r="E37" s="896">
        <f>'P11'!R9</f>
        <v>0</v>
      </c>
      <c r="F37" s="1094">
        <v>0</v>
      </c>
    </row>
    <row r="38" spans="2:6" ht="15.75" customHeight="1">
      <c r="B38" s="884">
        <f t="shared" si="2"/>
        <v>32</v>
      </c>
      <c r="C38" s="908" t="s">
        <v>262</v>
      </c>
      <c r="D38" s="929">
        <f>'P12'!R9</f>
        <v>0</v>
      </c>
      <c r="E38" s="896">
        <f>'P12'!S9</f>
        <v>0</v>
      </c>
      <c r="F38" s="1094">
        <v>0</v>
      </c>
    </row>
    <row r="39" spans="2:6" ht="16.5" customHeight="1">
      <c r="B39" s="884">
        <f t="shared" si="2"/>
        <v>33</v>
      </c>
      <c r="C39" s="912" t="s">
        <v>589</v>
      </c>
      <c r="D39" s="1237">
        <f>D24-D25</f>
        <v>952.8229999999999</v>
      </c>
      <c r="E39" s="1237">
        <f>E24-E25</f>
        <v>-875.4999999999998</v>
      </c>
      <c r="F39" s="1239"/>
    </row>
    <row r="40" spans="2:6" ht="16.5" customHeight="1">
      <c r="B40" s="884">
        <f t="shared" si="2"/>
        <v>34</v>
      </c>
      <c r="C40" s="913" t="s">
        <v>58</v>
      </c>
      <c r="D40" s="1238"/>
      <c r="E40" s="1238"/>
      <c r="F40" s="1240"/>
    </row>
    <row r="41" spans="2:6" ht="16.5" customHeight="1">
      <c r="B41" s="884">
        <f t="shared" si="2"/>
        <v>35</v>
      </c>
      <c r="C41" s="914" t="s">
        <v>59</v>
      </c>
      <c r="D41" s="931">
        <f>D7+D24</f>
        <v>10534.599999999999</v>
      </c>
      <c r="E41" s="898">
        <f>E7+E24</f>
        <v>7754.099999999999</v>
      </c>
      <c r="F41" s="1096">
        <f t="shared" si="0"/>
        <v>73.60602206063828</v>
      </c>
    </row>
    <row r="42" spans="2:6" ht="16.5" customHeight="1">
      <c r="B42" s="884">
        <f t="shared" si="2"/>
        <v>36</v>
      </c>
      <c r="C42" s="915" t="s">
        <v>19</v>
      </c>
      <c r="D42" s="931">
        <f>D8+D25</f>
        <v>8853.38</v>
      </c>
      <c r="E42" s="898">
        <f>E8+E25</f>
        <v>8630</v>
      </c>
      <c r="F42" s="1096">
        <f t="shared" si="0"/>
        <v>97.47689582961536</v>
      </c>
    </row>
    <row r="43" spans="2:6" ht="16.5" customHeight="1" thickBot="1">
      <c r="B43" s="884">
        <f t="shared" si="2"/>
        <v>37</v>
      </c>
      <c r="C43" s="916" t="s">
        <v>589</v>
      </c>
      <c r="D43" s="932">
        <f>D41-D42</f>
        <v>1681.2199999999993</v>
      </c>
      <c r="E43" s="899">
        <f>E41-E42</f>
        <v>-875.9000000000005</v>
      </c>
      <c r="F43" s="1097"/>
    </row>
    <row r="44" spans="2:6" ht="16.5" customHeight="1" thickBot="1" thickTop="1">
      <c r="B44" s="884">
        <f t="shared" si="2"/>
        <v>38</v>
      </c>
      <c r="C44" s="917" t="s">
        <v>486</v>
      </c>
      <c r="D44" s="933"/>
      <c r="E44" s="900"/>
      <c r="F44" s="1098"/>
    </row>
    <row r="45" spans="2:6" ht="16.5" customHeight="1" thickTop="1">
      <c r="B45" s="884">
        <f t="shared" si="2"/>
        <v>39</v>
      </c>
      <c r="C45" s="918" t="s">
        <v>552</v>
      </c>
      <c r="D45" s="934">
        <f>SUM(D46:D46)</f>
        <v>1084.8999999999999</v>
      </c>
      <c r="E45" s="901">
        <f>SUM(E46:E46)</f>
        <v>1165.5</v>
      </c>
      <c r="F45" s="1099">
        <f t="shared" si="0"/>
        <v>107.4292561526408</v>
      </c>
    </row>
    <row r="46" spans="2:6" ht="16.5" customHeight="1">
      <c r="B46" s="884">
        <f t="shared" si="2"/>
        <v>40</v>
      </c>
      <c r="C46" s="906" t="s">
        <v>248</v>
      </c>
      <c r="D46" s="926">
        <f>'Príjmy 2010'!H68</f>
        <v>1084.8999999999999</v>
      </c>
      <c r="E46" s="893">
        <f>'Príjmy 2010'!I68</f>
        <v>1165.5</v>
      </c>
      <c r="F46" s="1091">
        <f t="shared" si="0"/>
        <v>107.4292561526408</v>
      </c>
    </row>
    <row r="47" spans="2:6" ht="16.5" customHeight="1">
      <c r="B47" s="884">
        <f t="shared" si="2"/>
        <v>41</v>
      </c>
      <c r="C47" s="918" t="s">
        <v>553</v>
      </c>
      <c r="D47" s="934">
        <f>SUM(D48:D49)</f>
        <v>251.79999999999998</v>
      </c>
      <c r="E47" s="901">
        <f>SUM(E48:E49)</f>
        <v>255.59999999999997</v>
      </c>
      <c r="F47" s="1099">
        <f t="shared" si="0"/>
        <v>101.50913423351867</v>
      </c>
    </row>
    <row r="48" spans="2:6" ht="16.5" customHeight="1">
      <c r="B48" s="884">
        <f t="shared" si="2"/>
        <v>42</v>
      </c>
      <c r="C48" s="288" t="s">
        <v>264</v>
      </c>
      <c r="D48" s="935">
        <f>'Výdavky 2010'!G179</f>
        <v>31.6</v>
      </c>
      <c r="E48" s="902">
        <f>'Výdavky 2010'!H179</f>
        <v>33</v>
      </c>
      <c r="F48" s="1100">
        <f t="shared" si="0"/>
        <v>104.43037974683544</v>
      </c>
    </row>
    <row r="49" spans="2:6" ht="16.5" customHeight="1" thickBot="1">
      <c r="B49" s="884">
        <f t="shared" si="2"/>
        <v>43</v>
      </c>
      <c r="C49" s="288" t="s">
        <v>265</v>
      </c>
      <c r="D49" s="935">
        <f>'Výdavky 2010'!G169</f>
        <v>220.2</v>
      </c>
      <c r="E49" s="902">
        <f>'Výdavky 2010'!H169</f>
        <v>222.59999999999997</v>
      </c>
      <c r="F49" s="1100">
        <f t="shared" si="0"/>
        <v>101.08991825613079</v>
      </c>
    </row>
    <row r="50" spans="2:6" ht="16.5" customHeight="1" thickBot="1" thickTop="1">
      <c r="B50" s="885">
        <f t="shared" si="2"/>
        <v>44</v>
      </c>
      <c r="C50" s="919" t="s">
        <v>15</v>
      </c>
      <c r="D50" s="936">
        <f>D41+D45-D42-D47</f>
        <v>2514.319999999999</v>
      </c>
      <c r="E50" s="903">
        <f>E41+E45-E42-E47</f>
        <v>33.99999999999858</v>
      </c>
      <c r="F50" s="1101"/>
    </row>
    <row r="51" spans="2:3" ht="12.75">
      <c r="B51" s="886"/>
      <c r="C51" s="887"/>
    </row>
    <row r="52" spans="2:3" ht="12.75" customHeight="1">
      <c r="B52" s="888"/>
      <c r="C52" s="889"/>
    </row>
    <row r="53" spans="2:3" ht="15">
      <c r="B53" s="888"/>
      <c r="C53" s="889"/>
    </row>
    <row r="54" spans="2:3" ht="15">
      <c r="B54" s="888"/>
      <c r="C54" s="889"/>
    </row>
    <row r="55" spans="2:3" ht="15">
      <c r="B55" s="888"/>
      <c r="C55" s="889"/>
    </row>
    <row r="56" spans="2:3" ht="15">
      <c r="B56" s="888"/>
      <c r="C56" s="889"/>
    </row>
    <row r="57" spans="2:3" ht="15">
      <c r="B57" s="888"/>
      <c r="C57" s="889"/>
    </row>
    <row r="58" spans="2:3" ht="15">
      <c r="B58" s="888"/>
      <c r="C58" s="889"/>
    </row>
    <row r="59" spans="2:3" ht="15">
      <c r="B59" s="888"/>
      <c r="C59" s="889"/>
    </row>
    <row r="60" spans="2:3" ht="15">
      <c r="B60" s="888"/>
      <c r="C60" s="889"/>
    </row>
    <row r="61" spans="2:3" ht="15">
      <c r="B61" s="888"/>
      <c r="C61" s="889"/>
    </row>
    <row r="62" spans="2:3" ht="15">
      <c r="B62" s="888"/>
      <c r="C62" s="889"/>
    </row>
    <row r="63" spans="2:3" ht="15">
      <c r="B63" s="888"/>
      <c r="C63" s="889"/>
    </row>
    <row r="64" spans="2:3" ht="15">
      <c r="B64" s="888"/>
      <c r="C64" s="889"/>
    </row>
    <row r="65" spans="2:3" ht="15">
      <c r="B65" s="888"/>
      <c r="C65" s="889"/>
    </row>
    <row r="66" spans="2:3" ht="15">
      <c r="B66" s="888"/>
      <c r="C66" s="889"/>
    </row>
    <row r="67" spans="2:3" ht="15">
      <c r="B67" s="888"/>
      <c r="C67" s="889"/>
    </row>
    <row r="68" spans="2:3" ht="15">
      <c r="B68" s="888"/>
      <c r="C68" s="889"/>
    </row>
    <row r="69" spans="2:3" ht="15">
      <c r="B69" s="888"/>
      <c r="C69" s="889"/>
    </row>
    <row r="70" spans="2:3" ht="15">
      <c r="B70" s="888"/>
      <c r="C70" s="889"/>
    </row>
    <row r="71" spans="2:3" ht="15">
      <c r="B71" s="888"/>
      <c r="C71" s="889"/>
    </row>
    <row r="72" spans="2:3" ht="15">
      <c r="B72" s="888"/>
      <c r="C72" s="889"/>
    </row>
    <row r="73" spans="2:3" ht="15">
      <c r="B73" s="888"/>
      <c r="C73" s="889"/>
    </row>
    <row r="74" spans="2:3" ht="15">
      <c r="B74" s="888"/>
      <c r="C74" s="889"/>
    </row>
    <row r="75" spans="2:3" ht="15">
      <c r="B75" s="888"/>
      <c r="C75" s="889"/>
    </row>
    <row r="76" spans="2:3" ht="15">
      <c r="B76" s="888"/>
      <c r="C76" s="889"/>
    </row>
    <row r="77" spans="2:3" ht="15">
      <c r="B77" s="888"/>
      <c r="C77" s="889"/>
    </row>
    <row r="78" spans="2:3" ht="15">
      <c r="B78" s="888"/>
      <c r="C78" s="889"/>
    </row>
    <row r="79" spans="2:3" ht="15">
      <c r="B79" s="888"/>
      <c r="C79" s="889"/>
    </row>
    <row r="80" spans="2:3" ht="15">
      <c r="B80" s="888"/>
      <c r="C80" s="889"/>
    </row>
    <row r="81" spans="2:3" ht="15">
      <c r="B81" s="888"/>
      <c r="C81" s="889"/>
    </row>
    <row r="82" spans="2:3" ht="15">
      <c r="B82" s="888"/>
      <c r="C82" s="889"/>
    </row>
    <row r="83" spans="2:3" ht="15">
      <c r="B83" s="888"/>
      <c r="C83" s="889"/>
    </row>
    <row r="84" spans="2:3" ht="15">
      <c r="B84" s="888"/>
      <c r="C84" s="889"/>
    </row>
    <row r="85" spans="2:3" ht="15">
      <c r="B85" s="888"/>
      <c r="C85" s="889"/>
    </row>
    <row r="86" spans="2:3" ht="15">
      <c r="B86" s="888"/>
      <c r="C86" s="889"/>
    </row>
    <row r="87" spans="2:3" ht="15">
      <c r="B87" s="888"/>
      <c r="C87" s="889"/>
    </row>
    <row r="88" spans="2:3" ht="15">
      <c r="B88" s="888"/>
      <c r="C88" s="889"/>
    </row>
    <row r="89" spans="2:3" ht="15">
      <c r="B89" s="888"/>
      <c r="C89" s="889"/>
    </row>
    <row r="90" spans="2:3" ht="15">
      <c r="B90" s="888"/>
      <c r="C90" s="889"/>
    </row>
    <row r="91" spans="2:3" ht="15">
      <c r="B91" s="888"/>
      <c r="C91" s="889"/>
    </row>
    <row r="92" spans="2:3" ht="15">
      <c r="B92" s="888"/>
      <c r="C92" s="889"/>
    </row>
    <row r="93" spans="2:3" ht="15">
      <c r="B93" s="888"/>
      <c r="C93" s="889"/>
    </row>
    <row r="94" spans="2:3" ht="15">
      <c r="B94" s="888"/>
      <c r="C94" s="889"/>
    </row>
    <row r="95" spans="2:3" ht="15">
      <c r="B95" s="888"/>
      <c r="C95" s="889"/>
    </row>
    <row r="96" spans="2:3" ht="15">
      <c r="B96" s="888"/>
      <c r="C96" s="889"/>
    </row>
    <row r="97" spans="2:3" ht="15">
      <c r="B97" s="888"/>
      <c r="C97" s="889"/>
    </row>
    <row r="98" spans="2:3" ht="15">
      <c r="B98" s="888"/>
      <c r="C98" s="889"/>
    </row>
    <row r="99" spans="2:3" ht="15">
      <c r="B99" s="888"/>
      <c r="C99" s="889"/>
    </row>
    <row r="100" spans="2:3" ht="15">
      <c r="B100" s="888"/>
      <c r="C100" s="889"/>
    </row>
    <row r="101" spans="2:3" ht="15">
      <c r="B101" s="888"/>
      <c r="C101" s="889"/>
    </row>
    <row r="102" spans="2:3" ht="15">
      <c r="B102" s="888"/>
      <c r="C102" s="889"/>
    </row>
    <row r="103" spans="2:3" ht="15">
      <c r="B103" s="888"/>
      <c r="C103" s="889"/>
    </row>
    <row r="104" spans="2:3" ht="15">
      <c r="B104" s="888"/>
      <c r="C104" s="889"/>
    </row>
    <row r="105" spans="2:3" ht="15">
      <c r="B105" s="888"/>
      <c r="C105" s="889"/>
    </row>
    <row r="106" spans="2:3" ht="15">
      <c r="B106" s="888"/>
      <c r="C106" s="889"/>
    </row>
    <row r="107" spans="2:3" ht="15">
      <c r="B107" s="888"/>
      <c r="C107" s="889"/>
    </row>
  </sheetData>
  <sheetProtection/>
  <mergeCells count="7">
    <mergeCell ref="B3:C6"/>
    <mergeCell ref="D22:D23"/>
    <mergeCell ref="E22:E23"/>
    <mergeCell ref="F22:F23"/>
    <mergeCell ref="D39:D40"/>
    <mergeCell ref="E39:E40"/>
    <mergeCell ref="F39:F40"/>
  </mergeCells>
  <printOptions horizontalCentered="1"/>
  <pageMargins left="0.48" right="0.41" top="0.92" bottom="0.1968503937007874" header="0.3937007874015748" footer="0.1968503937007874"/>
  <pageSetup horizontalDpi="600" verticalDpi="600" orientation="portrait" paperSize="9" scale="95" r:id="rId1"/>
  <headerFooter alignWithMargins="0">
    <oddHeader>&amp;C1. zmena programového rozpočtu mesta Svidník na rok 2010 (v tis. €)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F181"/>
  <sheetViews>
    <sheetView zoomScale="115" zoomScaleNormal="115" zoomScalePageLayoutView="0" workbookViewId="0" topLeftCell="A1">
      <pane ySplit="2" topLeftCell="A167" activePane="bottomLeft" state="frozen"/>
      <selection pane="topLeft" activeCell="A1" sqref="A1"/>
      <selection pane="bottomLeft" activeCell="I180" sqref="I180"/>
    </sheetView>
  </sheetViews>
  <sheetFormatPr defaultColWidth="9.140625" defaultRowHeight="12.75"/>
  <cols>
    <col min="1" max="1" width="5.7109375" style="135" customWidth="1"/>
    <col min="2" max="2" width="9.421875" style="135" customWidth="1"/>
    <col min="3" max="3" width="7.57421875" style="141" customWidth="1"/>
    <col min="4" max="4" width="40.7109375" style="133" customWidth="1"/>
    <col min="5" max="5" width="0" style="134" hidden="1" customWidth="1"/>
    <col min="6" max="6" width="9.421875" style="412" bestFit="1" customWidth="1"/>
    <col min="7" max="8" width="10.421875" style="412" customWidth="1"/>
    <col min="9" max="9" width="8.421875" style="412" customWidth="1"/>
    <col min="10" max="234" width="9.140625" style="133" customWidth="1"/>
    <col min="235" max="16384" width="9.140625" style="134" customWidth="1"/>
  </cols>
  <sheetData>
    <row r="1" spans="1:240" s="91" customFormat="1" ht="40.5" customHeight="1">
      <c r="A1" s="794" t="s">
        <v>302</v>
      </c>
      <c r="B1" s="795" t="s">
        <v>303</v>
      </c>
      <c r="C1" s="796" t="s">
        <v>470</v>
      </c>
      <c r="D1" s="797" t="s">
        <v>304</v>
      </c>
      <c r="E1" s="974"/>
      <c r="F1" s="992" t="s">
        <v>497</v>
      </c>
      <c r="G1" s="815" t="s">
        <v>588</v>
      </c>
      <c r="H1" s="798" t="s">
        <v>563</v>
      </c>
      <c r="I1" s="799" t="s">
        <v>560</v>
      </c>
      <c r="IA1" s="92"/>
      <c r="IB1" s="92"/>
      <c r="IC1" s="92"/>
      <c r="ID1" s="92"/>
      <c r="IE1" s="92"/>
      <c r="IF1" s="92"/>
    </row>
    <row r="2" spans="1:234" s="92" customFormat="1" ht="15">
      <c r="A2" s="800">
        <v>1</v>
      </c>
      <c r="B2" s="93"/>
      <c r="C2" s="94"/>
      <c r="D2" s="95" t="s">
        <v>305</v>
      </c>
      <c r="E2" s="975"/>
      <c r="F2" s="1018">
        <f>F3+F6</f>
        <v>1160.2</v>
      </c>
      <c r="G2" s="1019">
        <f>G3+G6</f>
        <v>1089.1</v>
      </c>
      <c r="H2" s="1020">
        <f>H3+H6</f>
        <v>1088.4</v>
      </c>
      <c r="I2" s="1066">
        <f>+H2/G2*100</f>
        <v>99.93572674685521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</row>
    <row r="3" spans="1:234" s="92" customFormat="1" ht="15">
      <c r="A3" s="801"/>
      <c r="B3" s="970" t="s">
        <v>300</v>
      </c>
      <c r="C3" s="98"/>
      <c r="D3" s="99" t="s">
        <v>306</v>
      </c>
      <c r="E3" s="964"/>
      <c r="F3" s="1012">
        <f>SUM(F4:F5)</f>
        <v>640.6</v>
      </c>
      <c r="G3" s="950">
        <f>SUM(G4:G5)</f>
        <v>562</v>
      </c>
      <c r="H3" s="951">
        <f>SUM(H4:H5)</f>
        <v>562.4</v>
      </c>
      <c r="I3" s="1067">
        <f aca="true" t="shared" si="0" ref="I3:I66">+H3/G3*100</f>
        <v>100.0711743772242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</row>
    <row r="4" spans="1:234" s="92" customFormat="1" ht="15">
      <c r="A4" s="802"/>
      <c r="B4" s="100"/>
      <c r="C4" s="101">
        <v>610</v>
      </c>
      <c r="D4" s="102" t="s">
        <v>307</v>
      </c>
      <c r="E4" s="976"/>
      <c r="F4" s="1013">
        <v>474.7</v>
      </c>
      <c r="G4" s="952">
        <f>'P12'!F12</f>
        <v>404.8</v>
      </c>
      <c r="H4" s="953">
        <f>'P12'!L12</f>
        <v>406.5</v>
      </c>
      <c r="I4" s="1068">
        <f t="shared" si="0"/>
        <v>100.4199604743083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</row>
    <row r="5" spans="1:234" s="92" customFormat="1" ht="15">
      <c r="A5" s="802"/>
      <c r="B5" s="100"/>
      <c r="C5" s="101">
        <v>620</v>
      </c>
      <c r="D5" s="102" t="s">
        <v>308</v>
      </c>
      <c r="E5" s="976"/>
      <c r="F5" s="1013">
        <v>165.9</v>
      </c>
      <c r="G5" s="952">
        <f>'P12'!G13</f>
        <v>157.2</v>
      </c>
      <c r="H5" s="953">
        <f>'P12'!L13</f>
        <v>155.9</v>
      </c>
      <c r="I5" s="1068">
        <f t="shared" si="0"/>
        <v>99.17302798982189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</row>
    <row r="6" spans="1:234" s="92" customFormat="1" ht="15">
      <c r="A6" s="801"/>
      <c r="B6" s="97"/>
      <c r="C6" s="98">
        <v>630</v>
      </c>
      <c r="D6" s="99" t="s">
        <v>309</v>
      </c>
      <c r="E6" s="964"/>
      <c r="F6" s="1012">
        <f>F7+F8+F12+F23+F29+F34+F37+F55</f>
        <v>519.6</v>
      </c>
      <c r="G6" s="950">
        <f>G7+G8+G12+G23+G29+G34+G37+G55</f>
        <v>527.1</v>
      </c>
      <c r="H6" s="951">
        <f>H7+H8+H12+H23+H29+H34+H37+H55</f>
        <v>526</v>
      </c>
      <c r="I6" s="1067">
        <f t="shared" si="0"/>
        <v>99.79131094668942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</row>
    <row r="7" spans="1:234" s="92" customFormat="1" ht="15">
      <c r="A7" s="801"/>
      <c r="B7" s="97"/>
      <c r="C7" s="104" t="s">
        <v>310</v>
      </c>
      <c r="D7" s="105" t="s">
        <v>311</v>
      </c>
      <c r="E7" s="964"/>
      <c r="F7" s="1021">
        <v>2</v>
      </c>
      <c r="G7" s="1022">
        <f>'P12'!H34</f>
        <v>2</v>
      </c>
      <c r="H7" s="1023">
        <f>'P12'!L34</f>
        <v>2.5</v>
      </c>
      <c r="I7" s="1069">
        <f t="shared" si="0"/>
        <v>125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</row>
    <row r="8" spans="1:234" s="92" customFormat="1" ht="15">
      <c r="A8" s="801"/>
      <c r="B8" s="97"/>
      <c r="C8" s="98">
        <v>632</v>
      </c>
      <c r="D8" s="99" t="s">
        <v>312</v>
      </c>
      <c r="E8" s="964"/>
      <c r="F8" s="1012">
        <f>SUM(F9:F11)</f>
        <v>268.6</v>
      </c>
      <c r="G8" s="950">
        <f>SUM(G9:G11)</f>
        <v>268.6</v>
      </c>
      <c r="H8" s="951">
        <f>SUM(H9:H11)</f>
        <v>280.3</v>
      </c>
      <c r="I8" s="1067">
        <f t="shared" si="0"/>
        <v>104.35591958302308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</row>
    <row r="9" spans="1:234" s="92" customFormat="1" ht="15">
      <c r="A9" s="801"/>
      <c r="B9" s="97"/>
      <c r="C9" s="106">
        <v>632001</v>
      </c>
      <c r="D9" s="105" t="s">
        <v>168</v>
      </c>
      <c r="E9" s="964"/>
      <c r="F9" s="1021">
        <v>140</v>
      </c>
      <c r="G9" s="1022">
        <f>'P12'!H16</f>
        <v>140</v>
      </c>
      <c r="H9" s="1024">
        <f>'P12'!L16</f>
        <v>122.9</v>
      </c>
      <c r="I9" s="1069">
        <f t="shared" si="0"/>
        <v>87.78571428571429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</row>
    <row r="10" spans="1:234" s="92" customFormat="1" ht="15">
      <c r="A10" s="801"/>
      <c r="B10" s="97"/>
      <c r="C10" s="104" t="s">
        <v>313</v>
      </c>
      <c r="D10" s="105" t="s">
        <v>314</v>
      </c>
      <c r="E10" s="964"/>
      <c r="F10" s="1021">
        <v>108.6</v>
      </c>
      <c r="G10" s="1022">
        <f>'P12'!H17</f>
        <v>108.6</v>
      </c>
      <c r="H10" s="1023">
        <f>'P12'!L17</f>
        <v>137.2</v>
      </c>
      <c r="I10" s="1069">
        <f t="shared" si="0"/>
        <v>126.33517495395947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</row>
    <row r="11" spans="1:234" s="92" customFormat="1" ht="15">
      <c r="A11" s="801"/>
      <c r="B11" s="97"/>
      <c r="C11" s="104" t="s">
        <v>315</v>
      </c>
      <c r="D11" s="105" t="s">
        <v>316</v>
      </c>
      <c r="E11" s="964"/>
      <c r="F11" s="1021">
        <v>20</v>
      </c>
      <c r="G11" s="1022">
        <f>'P12'!H18</f>
        <v>20</v>
      </c>
      <c r="H11" s="1023">
        <f>'P12'!L18</f>
        <v>20.2</v>
      </c>
      <c r="I11" s="1069">
        <f t="shared" si="0"/>
        <v>101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</row>
    <row r="12" spans="1:234" s="92" customFormat="1" ht="15">
      <c r="A12" s="801"/>
      <c r="B12" s="97"/>
      <c r="C12" s="98">
        <v>633</v>
      </c>
      <c r="D12" s="99" t="s">
        <v>317</v>
      </c>
      <c r="E12" s="964"/>
      <c r="F12" s="1012">
        <f>SUM(F13:F22)</f>
        <v>34.2</v>
      </c>
      <c r="G12" s="950">
        <f>SUM(G13:G22)</f>
        <v>32.2</v>
      </c>
      <c r="H12" s="951">
        <f>SUM(H13:H22)</f>
        <v>30.200000000000003</v>
      </c>
      <c r="I12" s="1067">
        <f t="shared" si="0"/>
        <v>93.7888198757764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</row>
    <row r="13" spans="1:234" s="92" customFormat="1" ht="15">
      <c r="A13" s="801"/>
      <c r="B13" s="97"/>
      <c r="C13" s="104" t="s">
        <v>318</v>
      </c>
      <c r="D13" s="105" t="s">
        <v>289</v>
      </c>
      <c r="E13" s="964"/>
      <c r="F13" s="1021">
        <v>1.5</v>
      </c>
      <c r="G13" s="1022">
        <f>'P12'!H24</f>
        <v>1.5</v>
      </c>
      <c r="H13" s="1023">
        <f>'P12'!L24</f>
        <v>0.9</v>
      </c>
      <c r="I13" s="1069">
        <f t="shared" si="0"/>
        <v>60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</row>
    <row r="14" spans="1:234" s="92" customFormat="1" ht="15">
      <c r="A14" s="801"/>
      <c r="B14" s="97"/>
      <c r="C14" s="104" t="s">
        <v>319</v>
      </c>
      <c r="D14" s="105" t="s">
        <v>320</v>
      </c>
      <c r="E14" s="964"/>
      <c r="F14" s="1021">
        <v>5</v>
      </c>
      <c r="G14" s="1022">
        <f>'P2'!H34</f>
        <v>3</v>
      </c>
      <c r="H14" s="1024">
        <f>'P2'!L34</f>
        <v>2.8</v>
      </c>
      <c r="I14" s="1069">
        <f t="shared" si="0"/>
        <v>93.33333333333333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</row>
    <row r="15" spans="1:234" s="92" customFormat="1" ht="15">
      <c r="A15" s="801"/>
      <c r="B15" s="97"/>
      <c r="C15" s="104" t="s">
        <v>321</v>
      </c>
      <c r="D15" s="105" t="s">
        <v>46</v>
      </c>
      <c r="E15" s="964"/>
      <c r="F15" s="1021">
        <v>0.5</v>
      </c>
      <c r="G15" s="1022">
        <f>'P2'!H35</f>
        <v>0.5</v>
      </c>
      <c r="H15" s="1023">
        <f>'P2'!L35</f>
        <v>0.6</v>
      </c>
      <c r="I15" s="1069">
        <f t="shared" si="0"/>
        <v>120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</row>
    <row r="16" spans="1:234" s="92" customFormat="1" ht="15">
      <c r="A16" s="801"/>
      <c r="B16" s="97"/>
      <c r="C16" s="104" t="s">
        <v>322</v>
      </c>
      <c r="D16" s="105" t="s">
        <v>323</v>
      </c>
      <c r="E16" s="964"/>
      <c r="F16" s="1021">
        <v>0.5</v>
      </c>
      <c r="G16" s="1022">
        <f>'P12'!H28</f>
        <v>0.5</v>
      </c>
      <c r="H16" s="1023">
        <f>'P12'!L28</f>
        <v>0.1</v>
      </c>
      <c r="I16" s="1069">
        <f t="shared" si="0"/>
        <v>20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</row>
    <row r="17" spans="1:234" s="92" customFormat="1" ht="15">
      <c r="A17" s="801"/>
      <c r="B17" s="97"/>
      <c r="C17" s="104" t="s">
        <v>324</v>
      </c>
      <c r="D17" s="105" t="s">
        <v>274</v>
      </c>
      <c r="E17" s="964"/>
      <c r="F17" s="1021">
        <v>15</v>
      </c>
      <c r="G17" s="1022">
        <f>'P12'!H20+'P3'!H12+'P3'!H13</f>
        <v>17</v>
      </c>
      <c r="H17" s="1024">
        <f>'P12'!L20+'P3'!L12+'P3'!L13</f>
        <v>17.200000000000003</v>
      </c>
      <c r="I17" s="1069">
        <f t="shared" si="0"/>
        <v>101.17647058823532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</row>
    <row r="18" spans="1:234" s="92" customFormat="1" ht="15">
      <c r="A18" s="801"/>
      <c r="B18" s="97"/>
      <c r="C18" s="104" t="s">
        <v>325</v>
      </c>
      <c r="D18" s="105" t="s">
        <v>290</v>
      </c>
      <c r="E18" s="964"/>
      <c r="F18" s="1021">
        <v>0.30000000000000004</v>
      </c>
      <c r="G18" s="1022">
        <f>'P12'!H21</f>
        <v>0.3</v>
      </c>
      <c r="H18" s="1023">
        <f>'P12'!L21</f>
        <v>0</v>
      </c>
      <c r="I18" s="1069">
        <f t="shared" si="0"/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</row>
    <row r="19" spans="1:234" s="92" customFormat="1" ht="15">
      <c r="A19" s="801"/>
      <c r="B19" s="97"/>
      <c r="C19" s="104" t="s">
        <v>326</v>
      </c>
      <c r="D19" s="105" t="s">
        <v>291</v>
      </c>
      <c r="E19" s="964"/>
      <c r="F19" s="1021">
        <v>1.5</v>
      </c>
      <c r="G19" s="1022">
        <f>'P12'!H22</f>
        <v>1.5</v>
      </c>
      <c r="H19" s="1023">
        <f>'P12'!L22</f>
        <v>1.5</v>
      </c>
      <c r="I19" s="1069">
        <f t="shared" si="0"/>
        <v>100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</row>
    <row r="20" spans="1:234" s="92" customFormat="1" ht="15">
      <c r="A20" s="801"/>
      <c r="B20" s="97"/>
      <c r="C20" s="104" t="s">
        <v>327</v>
      </c>
      <c r="D20" s="105" t="s">
        <v>292</v>
      </c>
      <c r="E20" s="964"/>
      <c r="F20" s="1021">
        <v>0.30000000000000004</v>
      </c>
      <c r="G20" s="1022">
        <f>'P12'!H23</f>
        <v>0.3</v>
      </c>
      <c r="H20" s="1023">
        <f>'P12'!L23</f>
        <v>0.1</v>
      </c>
      <c r="I20" s="1069">
        <f t="shared" si="0"/>
        <v>33.333333333333336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</row>
    <row r="21" spans="1:234" s="92" customFormat="1" ht="15">
      <c r="A21" s="801"/>
      <c r="B21" s="97"/>
      <c r="C21" s="104" t="s">
        <v>328</v>
      </c>
      <c r="D21" s="105" t="s">
        <v>329</v>
      </c>
      <c r="E21" s="964"/>
      <c r="F21" s="1021">
        <v>3</v>
      </c>
      <c r="G21" s="1022">
        <f>'P2'!H38</f>
        <v>1</v>
      </c>
      <c r="H21" s="1023">
        <f>'P2'!L38</f>
        <v>0.4</v>
      </c>
      <c r="I21" s="1069">
        <f t="shared" si="0"/>
        <v>40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</row>
    <row r="22" spans="1:234" s="92" customFormat="1" ht="12.75" customHeight="1">
      <c r="A22" s="801"/>
      <c r="B22" s="97"/>
      <c r="C22" s="106">
        <v>633016</v>
      </c>
      <c r="D22" s="105" t="s">
        <v>330</v>
      </c>
      <c r="E22" s="964"/>
      <c r="F22" s="1021">
        <v>6.6</v>
      </c>
      <c r="G22" s="1022">
        <f>'P1'!I12</f>
        <v>6.6</v>
      </c>
      <c r="H22" s="1023">
        <f>'P1'!M12</f>
        <v>6.6</v>
      </c>
      <c r="I22" s="1069">
        <f t="shared" si="0"/>
        <v>100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</row>
    <row r="23" spans="1:234" s="92" customFormat="1" ht="15">
      <c r="A23" s="801"/>
      <c r="B23" s="97"/>
      <c r="C23" s="98">
        <v>634</v>
      </c>
      <c r="D23" s="99" t="s">
        <v>331</v>
      </c>
      <c r="E23" s="964"/>
      <c r="F23" s="1012">
        <f>SUM(F24:F28)</f>
        <v>25.700000000000003</v>
      </c>
      <c r="G23" s="950">
        <f>SUM(G24:G28)</f>
        <v>27.200000000000003</v>
      </c>
      <c r="H23" s="951">
        <f>SUM(H24:H28)</f>
        <v>28.6</v>
      </c>
      <c r="I23" s="1067">
        <f t="shared" si="0"/>
        <v>105.14705882352942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</row>
    <row r="24" spans="1:234" s="92" customFormat="1" ht="15">
      <c r="A24" s="801"/>
      <c r="B24" s="97"/>
      <c r="C24" s="104" t="s">
        <v>332</v>
      </c>
      <c r="D24" s="105" t="s">
        <v>333</v>
      </c>
      <c r="E24" s="964"/>
      <c r="F24" s="1021">
        <v>10.5</v>
      </c>
      <c r="G24" s="1022">
        <f>'P2'!H41</f>
        <v>10.5</v>
      </c>
      <c r="H24" s="1023">
        <f>'P2'!L41</f>
        <v>10.3</v>
      </c>
      <c r="I24" s="1069">
        <f t="shared" si="0"/>
        <v>98.0952380952381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4" s="92" customFormat="1" ht="15">
      <c r="A25" s="801"/>
      <c r="B25" s="97"/>
      <c r="C25" s="104" t="s">
        <v>334</v>
      </c>
      <c r="D25" s="105" t="s">
        <v>335</v>
      </c>
      <c r="E25" s="964"/>
      <c r="F25" s="1021">
        <v>5</v>
      </c>
      <c r="G25" s="1022">
        <f>'P2'!H42</f>
        <v>5</v>
      </c>
      <c r="H25" s="1023">
        <f>'P2'!L42</f>
        <v>6.3</v>
      </c>
      <c r="I25" s="1069">
        <f t="shared" si="0"/>
        <v>126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</row>
    <row r="26" spans="1:234" s="92" customFormat="1" ht="15">
      <c r="A26" s="801"/>
      <c r="B26" s="97"/>
      <c r="C26" s="104" t="s">
        <v>336</v>
      </c>
      <c r="D26" s="105" t="s">
        <v>337</v>
      </c>
      <c r="E26" s="964"/>
      <c r="F26" s="1021">
        <v>10</v>
      </c>
      <c r="G26" s="1022">
        <f>'P2'!H43</f>
        <v>11.3</v>
      </c>
      <c r="H26" s="1023">
        <f>'P2'!L43</f>
        <v>11.7</v>
      </c>
      <c r="I26" s="1069">
        <f t="shared" si="0"/>
        <v>103.53982300884954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</row>
    <row r="27" spans="1:234" s="92" customFormat="1" ht="15">
      <c r="A27" s="801"/>
      <c r="B27" s="97"/>
      <c r="C27" s="104" t="s">
        <v>338</v>
      </c>
      <c r="D27" s="105" t="s">
        <v>339</v>
      </c>
      <c r="E27" s="964"/>
      <c r="F27" s="1021">
        <v>0.1</v>
      </c>
      <c r="G27" s="1022">
        <f>'P2'!H44</f>
        <v>0.3</v>
      </c>
      <c r="H27" s="1023">
        <f>'P2'!L44</f>
        <v>0.2</v>
      </c>
      <c r="I27" s="1069">
        <f t="shared" si="0"/>
        <v>66.66666666666667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</row>
    <row r="28" spans="1:234" s="92" customFormat="1" ht="15">
      <c r="A28" s="801"/>
      <c r="B28" s="97"/>
      <c r="C28" s="146">
        <v>634006</v>
      </c>
      <c r="D28" s="105" t="s">
        <v>340</v>
      </c>
      <c r="E28" s="964"/>
      <c r="F28" s="1021">
        <v>0.1</v>
      </c>
      <c r="G28" s="1022">
        <f>'P2'!H45</f>
        <v>0.1</v>
      </c>
      <c r="H28" s="1023">
        <f>'P2'!L45</f>
        <v>0.1</v>
      </c>
      <c r="I28" s="1069">
        <f t="shared" si="0"/>
        <v>100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</row>
    <row r="29" spans="1:234" s="92" customFormat="1" ht="15">
      <c r="A29" s="801"/>
      <c r="B29" s="97"/>
      <c r="C29" s="98">
        <v>635</v>
      </c>
      <c r="D29" s="99" t="s">
        <v>471</v>
      </c>
      <c r="E29" s="964"/>
      <c r="F29" s="1012">
        <f>SUM(F30:F33)</f>
        <v>49</v>
      </c>
      <c r="G29" s="950">
        <f>SUM(G30:G33)</f>
        <v>49</v>
      </c>
      <c r="H29" s="951">
        <f>SUM(H30:H33)</f>
        <v>49.8</v>
      </c>
      <c r="I29" s="1067">
        <f t="shared" si="0"/>
        <v>101.63265306122449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</row>
    <row r="30" spans="1:234" s="92" customFormat="1" ht="15">
      <c r="A30" s="801"/>
      <c r="B30" s="97"/>
      <c r="C30" s="104" t="s">
        <v>341</v>
      </c>
      <c r="D30" s="105" t="s">
        <v>342</v>
      </c>
      <c r="E30" s="964"/>
      <c r="F30" s="1021">
        <v>6.5</v>
      </c>
      <c r="G30" s="1022">
        <f>'P2'!H37</f>
        <v>6.5</v>
      </c>
      <c r="H30" s="1024">
        <f>'P2'!L37</f>
        <v>5.7</v>
      </c>
      <c r="I30" s="1069">
        <f t="shared" si="0"/>
        <v>87.6923076923077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</row>
    <row r="31" spans="1:234" s="92" customFormat="1" ht="15">
      <c r="A31" s="801"/>
      <c r="B31" s="97"/>
      <c r="C31" s="104" t="s">
        <v>343</v>
      </c>
      <c r="D31" s="105" t="s">
        <v>293</v>
      </c>
      <c r="E31" s="964"/>
      <c r="F31" s="1021">
        <v>0.5</v>
      </c>
      <c r="G31" s="1022">
        <f>'P2'!H36</f>
        <v>0.5</v>
      </c>
      <c r="H31" s="1024">
        <f>'P2'!L36</f>
        <v>0.5</v>
      </c>
      <c r="I31" s="1069">
        <f t="shared" si="0"/>
        <v>100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</row>
    <row r="32" spans="1:234" s="92" customFormat="1" ht="15">
      <c r="A32" s="801"/>
      <c r="B32" s="97"/>
      <c r="C32" s="104" t="s">
        <v>344</v>
      </c>
      <c r="D32" s="105" t="s">
        <v>345</v>
      </c>
      <c r="E32" s="964"/>
      <c r="F32" s="1021">
        <v>2</v>
      </c>
      <c r="G32" s="1022">
        <f>'P12'!H29</f>
        <v>2</v>
      </c>
      <c r="H32" s="1023">
        <f>'P12'!L29</f>
        <v>2.6</v>
      </c>
      <c r="I32" s="1069">
        <f t="shared" si="0"/>
        <v>130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</row>
    <row r="33" spans="1:234" s="92" customFormat="1" ht="15">
      <c r="A33" s="801"/>
      <c r="B33" s="97"/>
      <c r="C33" s="104" t="s">
        <v>346</v>
      </c>
      <c r="D33" s="105" t="s">
        <v>347</v>
      </c>
      <c r="E33" s="964"/>
      <c r="F33" s="1021">
        <v>40</v>
      </c>
      <c r="G33" s="1022">
        <f>'P2'!H27+'P2'!H28</f>
        <v>40</v>
      </c>
      <c r="H33" s="1023">
        <f>'P2'!L27+'P2'!L28</f>
        <v>41</v>
      </c>
      <c r="I33" s="1069">
        <f t="shared" si="0"/>
        <v>102.49999999999999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</row>
    <row r="34" spans="1:234" s="92" customFormat="1" ht="15">
      <c r="A34" s="801"/>
      <c r="B34" s="97"/>
      <c r="C34" s="98">
        <v>636</v>
      </c>
      <c r="D34" s="99" t="s">
        <v>348</v>
      </c>
      <c r="E34" s="964"/>
      <c r="F34" s="1012">
        <f>SUM(F35:F36)</f>
        <v>1</v>
      </c>
      <c r="G34" s="950">
        <f>SUM(G35:G36)</f>
        <v>1</v>
      </c>
      <c r="H34" s="951">
        <f>SUM(H35:H36)</f>
        <v>0.5</v>
      </c>
      <c r="I34" s="1067">
        <f t="shared" si="0"/>
        <v>50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</row>
    <row r="35" spans="1:234" s="92" customFormat="1" ht="15">
      <c r="A35" s="801"/>
      <c r="B35" s="97" t="s">
        <v>349</v>
      </c>
      <c r="C35" s="104" t="s">
        <v>350</v>
      </c>
      <c r="D35" s="105" t="s">
        <v>347</v>
      </c>
      <c r="E35" s="964"/>
      <c r="F35" s="1021">
        <v>0.7</v>
      </c>
      <c r="G35" s="1022">
        <f>'P12'!H32</f>
        <v>0.7</v>
      </c>
      <c r="H35" s="1024">
        <f>'P12'!L32</f>
        <v>0.2</v>
      </c>
      <c r="I35" s="1069">
        <f t="shared" si="0"/>
        <v>28.571428571428577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</row>
    <row r="36" spans="1:231" s="92" customFormat="1" ht="15">
      <c r="A36" s="801"/>
      <c r="B36" s="97"/>
      <c r="C36" s="104" t="s">
        <v>351</v>
      </c>
      <c r="D36" s="105" t="s">
        <v>352</v>
      </c>
      <c r="E36" s="964"/>
      <c r="F36" s="1021">
        <v>0.30000000000000004</v>
      </c>
      <c r="G36" s="1022">
        <f>'P12'!H33</f>
        <v>0.3</v>
      </c>
      <c r="H36" s="1024">
        <f>'P12'!L33</f>
        <v>0.3</v>
      </c>
      <c r="I36" s="1069">
        <f t="shared" si="0"/>
        <v>100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</row>
    <row r="37" spans="1:231" s="92" customFormat="1" ht="15">
      <c r="A37" s="801"/>
      <c r="B37" s="97"/>
      <c r="C37" s="98">
        <v>637</v>
      </c>
      <c r="D37" s="99" t="s">
        <v>353</v>
      </c>
      <c r="E37" s="964"/>
      <c r="F37" s="1012">
        <f>SUM(F38:F54)</f>
        <v>124.10000000000001</v>
      </c>
      <c r="G37" s="950">
        <f>SUM(G38:G54)</f>
        <v>127.10000000000001</v>
      </c>
      <c r="H37" s="951">
        <f>SUM(H38:H54)</f>
        <v>116.3</v>
      </c>
      <c r="I37" s="1067">
        <f t="shared" si="0"/>
        <v>91.50275373721477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</row>
    <row r="38" spans="1:231" s="92" customFormat="1" ht="15">
      <c r="A38" s="801"/>
      <c r="B38" s="97"/>
      <c r="C38" s="102" t="s">
        <v>354</v>
      </c>
      <c r="D38" s="102" t="s">
        <v>355</v>
      </c>
      <c r="E38" s="964"/>
      <c r="F38" s="1021">
        <v>1</v>
      </c>
      <c r="G38" s="1022">
        <f>'P2'!H31</f>
        <v>1.5</v>
      </c>
      <c r="H38" s="1023">
        <f>'P2'!L31</f>
        <v>1.2</v>
      </c>
      <c r="I38" s="1069">
        <f t="shared" si="0"/>
        <v>80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</row>
    <row r="39" spans="1:231" s="92" customFormat="1" ht="15">
      <c r="A39" s="801"/>
      <c r="B39" s="97"/>
      <c r="C39" s="102" t="s">
        <v>356</v>
      </c>
      <c r="D39" s="102" t="s">
        <v>287</v>
      </c>
      <c r="E39" s="964"/>
      <c r="F39" s="1021">
        <v>2</v>
      </c>
      <c r="G39" s="1022">
        <f>'P12'!H36</f>
        <v>3</v>
      </c>
      <c r="H39" s="1023">
        <f>'P12'!L36</f>
        <v>3.1</v>
      </c>
      <c r="I39" s="1069">
        <f t="shared" si="0"/>
        <v>103.33333333333334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</row>
    <row r="40" spans="1:231" s="92" customFormat="1" ht="15">
      <c r="A40" s="801"/>
      <c r="B40" s="97"/>
      <c r="C40" s="102" t="s">
        <v>357</v>
      </c>
      <c r="D40" s="102" t="s">
        <v>358</v>
      </c>
      <c r="E40" s="964"/>
      <c r="F40" s="1021">
        <v>2.1</v>
      </c>
      <c r="G40" s="1022">
        <f>'P2'!H23</f>
        <v>2.1</v>
      </c>
      <c r="H40" s="1023">
        <f>'P2'!L23</f>
        <v>2.1</v>
      </c>
      <c r="I40" s="1069">
        <f t="shared" si="0"/>
        <v>100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</row>
    <row r="41" spans="1:231" s="92" customFormat="1" ht="15">
      <c r="A41" s="801"/>
      <c r="B41" s="97"/>
      <c r="C41" s="102" t="s">
        <v>359</v>
      </c>
      <c r="D41" s="102" t="s">
        <v>360</v>
      </c>
      <c r="E41" s="964"/>
      <c r="F41" s="1021">
        <v>20</v>
      </c>
      <c r="G41" s="1022">
        <f>'P12'!H25</f>
        <v>20</v>
      </c>
      <c r="H41" s="1023">
        <f>'P12'!L25</f>
        <v>18.8</v>
      </c>
      <c r="I41" s="1069">
        <f t="shared" si="0"/>
        <v>94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</row>
    <row r="42" spans="1:231" s="92" customFormat="1" ht="15">
      <c r="A42" s="801"/>
      <c r="B42" s="97"/>
      <c r="C42" s="102" t="s">
        <v>361</v>
      </c>
      <c r="D42" s="102" t="s">
        <v>250</v>
      </c>
      <c r="E42" s="964"/>
      <c r="F42" s="1021">
        <v>8</v>
      </c>
      <c r="G42" s="1022">
        <f>'P2'!H13</f>
        <v>8</v>
      </c>
      <c r="H42" s="1023">
        <f>'P2'!L13</f>
        <v>1.9</v>
      </c>
      <c r="I42" s="1069">
        <f t="shared" si="0"/>
        <v>23.75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</row>
    <row r="43" spans="1:231" s="92" customFormat="1" ht="15">
      <c r="A43" s="801"/>
      <c r="B43" s="97"/>
      <c r="C43" s="102" t="s">
        <v>362</v>
      </c>
      <c r="D43" s="102" t="s">
        <v>363</v>
      </c>
      <c r="E43" s="964"/>
      <c r="F43" s="1021">
        <v>3</v>
      </c>
      <c r="G43" s="1022">
        <f>'P11'!H35</f>
        <v>3</v>
      </c>
      <c r="H43" s="1024">
        <f>'P11'!K35</f>
        <v>1.1</v>
      </c>
      <c r="I43" s="1069">
        <f t="shared" si="0"/>
        <v>36.66666666666667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</row>
    <row r="44" spans="1:231" s="92" customFormat="1" ht="15">
      <c r="A44" s="801"/>
      <c r="B44" s="97"/>
      <c r="C44" s="102" t="s">
        <v>364</v>
      </c>
      <c r="D44" s="102" t="s">
        <v>365</v>
      </c>
      <c r="E44" s="964"/>
      <c r="F44" s="1021">
        <v>3</v>
      </c>
      <c r="G44" s="1022">
        <f>'P2'!H22</f>
        <v>3</v>
      </c>
      <c r="H44" s="1023">
        <f>'P2'!L22</f>
        <v>3.4</v>
      </c>
      <c r="I44" s="1069">
        <f t="shared" si="0"/>
        <v>113.33333333333333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</row>
    <row r="45" spans="1:231" s="92" customFormat="1" ht="15">
      <c r="A45" s="801"/>
      <c r="B45" s="97"/>
      <c r="C45" s="102" t="s">
        <v>366</v>
      </c>
      <c r="D45" s="102" t="s">
        <v>251</v>
      </c>
      <c r="E45" s="964"/>
      <c r="F45" s="1021">
        <v>0.5</v>
      </c>
      <c r="G45" s="1022">
        <f>'P2'!H14</f>
        <v>1.2</v>
      </c>
      <c r="H45" s="1023">
        <f>'P2'!L14</f>
        <v>0.7</v>
      </c>
      <c r="I45" s="1069">
        <f t="shared" si="0"/>
        <v>58.333333333333336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</row>
    <row r="46" spans="1:231" s="92" customFormat="1" ht="14.25" customHeight="1">
      <c r="A46" s="801"/>
      <c r="B46" s="97"/>
      <c r="C46" s="107">
        <v>633016</v>
      </c>
      <c r="D46" s="102" t="s">
        <v>492</v>
      </c>
      <c r="E46" s="964"/>
      <c r="F46" s="1021">
        <v>3.3</v>
      </c>
      <c r="G46" s="1022">
        <f>'P2'!H18</f>
        <v>3.3</v>
      </c>
      <c r="H46" s="1023">
        <f>'P2'!L18</f>
        <v>2.5</v>
      </c>
      <c r="I46" s="1069">
        <f t="shared" si="0"/>
        <v>75.75757575757575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</row>
    <row r="47" spans="1:231" s="92" customFormat="1" ht="13.5" customHeight="1">
      <c r="A47" s="801"/>
      <c r="B47" s="97"/>
      <c r="C47" s="102" t="s">
        <v>367</v>
      </c>
      <c r="D47" s="102" t="s">
        <v>16</v>
      </c>
      <c r="E47" s="964"/>
      <c r="F47" s="1021">
        <v>25</v>
      </c>
      <c r="G47" s="1022">
        <f>'P12'!H30</f>
        <v>25</v>
      </c>
      <c r="H47" s="1023">
        <f>'P12'!L30</f>
        <v>23.8</v>
      </c>
      <c r="I47" s="1069">
        <f t="shared" si="0"/>
        <v>95.2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</row>
    <row r="48" spans="1:231" s="92" customFormat="1" ht="14.25" customHeight="1">
      <c r="A48" s="803"/>
      <c r="B48" s="97"/>
      <c r="C48" s="107" t="s">
        <v>368</v>
      </c>
      <c r="D48" s="102" t="s">
        <v>276</v>
      </c>
      <c r="E48" s="964"/>
      <c r="F48" s="1021">
        <v>6.6</v>
      </c>
      <c r="G48" s="1022">
        <f>'P12'!H35</f>
        <v>4.3</v>
      </c>
      <c r="H48" s="1023">
        <f>'P12'!L35</f>
        <v>3.7</v>
      </c>
      <c r="I48" s="1069">
        <f t="shared" si="0"/>
        <v>86.04651162790698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</row>
    <row r="49" spans="1:231" s="92" customFormat="1" ht="15">
      <c r="A49" s="801"/>
      <c r="B49" s="97"/>
      <c r="C49" s="107" t="s">
        <v>369</v>
      </c>
      <c r="D49" s="102" t="s">
        <v>182</v>
      </c>
      <c r="E49" s="964"/>
      <c r="F49" s="1021">
        <v>6.4</v>
      </c>
      <c r="G49" s="1022">
        <f>'P12'!H31</f>
        <v>4.9</v>
      </c>
      <c r="H49" s="1023">
        <f>'P12'!L31</f>
        <v>4.5</v>
      </c>
      <c r="I49" s="1069">
        <f t="shared" si="0"/>
        <v>91.83673469387755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</row>
    <row r="50" spans="1:231" s="92" customFormat="1" ht="15">
      <c r="A50" s="801"/>
      <c r="B50" s="97"/>
      <c r="C50" s="108" t="s">
        <v>543</v>
      </c>
      <c r="D50" s="108" t="s">
        <v>544</v>
      </c>
      <c r="E50" s="977"/>
      <c r="F50" s="1021"/>
      <c r="G50" s="1022">
        <f>'P12'!H26</f>
        <v>4.4</v>
      </c>
      <c r="H50" s="1023">
        <f>'P12'!L26</f>
        <v>5</v>
      </c>
      <c r="I50" s="1069">
        <f t="shared" si="0"/>
        <v>113.63636363636363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</row>
    <row r="51" spans="1:231" s="92" customFormat="1" ht="15">
      <c r="A51" s="801"/>
      <c r="B51" s="97"/>
      <c r="C51" s="107">
        <v>637023</v>
      </c>
      <c r="D51" s="102" t="s">
        <v>76</v>
      </c>
      <c r="E51" s="964"/>
      <c r="F51" s="1021">
        <v>1</v>
      </c>
      <c r="G51" s="1022">
        <f>'P2'!H24</f>
        <v>1</v>
      </c>
      <c r="H51" s="1023">
        <f>'P2'!L24</f>
        <v>0.8</v>
      </c>
      <c r="I51" s="1069">
        <f t="shared" si="0"/>
        <v>80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</row>
    <row r="52" spans="1:231" s="92" customFormat="1" ht="15">
      <c r="A52" s="804"/>
      <c r="B52" s="97"/>
      <c r="C52" s="102" t="s">
        <v>370</v>
      </c>
      <c r="D52" s="102" t="s">
        <v>288</v>
      </c>
      <c r="E52" s="964"/>
      <c r="F52" s="1021">
        <v>17.2</v>
      </c>
      <c r="G52" s="1022">
        <f>'P2'!H17</f>
        <v>17.2</v>
      </c>
      <c r="H52" s="1023">
        <f>'P2'!L17</f>
        <v>24.4</v>
      </c>
      <c r="I52" s="1069">
        <f t="shared" si="0"/>
        <v>141.86046511627907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</row>
    <row r="53" spans="1:231" s="92" customFormat="1" ht="15">
      <c r="A53" s="804"/>
      <c r="B53" s="97"/>
      <c r="C53" s="102" t="s">
        <v>371</v>
      </c>
      <c r="D53" s="102" t="s">
        <v>296</v>
      </c>
      <c r="E53" s="978">
        <v>633016</v>
      </c>
      <c r="F53" s="1021">
        <v>25</v>
      </c>
      <c r="G53" s="1022">
        <f>'P12'!H15+'P3'!H14+'P3'!H15</f>
        <v>25</v>
      </c>
      <c r="H53" s="1024">
        <f>'P12'!L15+'P3'!L14+'P3'!L15</f>
        <v>19.1</v>
      </c>
      <c r="I53" s="1069">
        <f t="shared" si="0"/>
        <v>76.4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</row>
    <row r="54" spans="1:231" s="92" customFormat="1" ht="15">
      <c r="A54" s="801"/>
      <c r="B54" s="97"/>
      <c r="C54" s="110">
        <v>637013</v>
      </c>
      <c r="D54" s="102" t="s">
        <v>545</v>
      </c>
      <c r="E54" s="978">
        <v>633016</v>
      </c>
      <c r="F54" s="1021"/>
      <c r="G54" s="1022">
        <f>'P12'!H37</f>
        <v>0.2</v>
      </c>
      <c r="H54" s="1023">
        <f>'P12'!L37</f>
        <v>0.2</v>
      </c>
      <c r="I54" s="1069">
        <f t="shared" si="0"/>
        <v>100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</row>
    <row r="55" spans="1:231" s="92" customFormat="1" ht="15">
      <c r="A55" s="801"/>
      <c r="B55" s="970" t="s">
        <v>587</v>
      </c>
      <c r="C55" s="102"/>
      <c r="D55" s="111" t="s">
        <v>536</v>
      </c>
      <c r="E55" s="976"/>
      <c r="F55" s="1025">
        <f>SUM(F56:F60)</f>
        <v>15</v>
      </c>
      <c r="G55" s="1026">
        <f>SUM(G56:G60)</f>
        <v>20</v>
      </c>
      <c r="H55" s="1027">
        <f>SUM(H56:H60)</f>
        <v>17.799999999999997</v>
      </c>
      <c r="I55" s="1070">
        <f t="shared" si="0"/>
        <v>88.99999999999999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</row>
    <row r="56" spans="1:231" s="92" customFormat="1" ht="15">
      <c r="A56" s="801"/>
      <c r="B56" s="97"/>
      <c r="C56" s="112">
        <v>631001</v>
      </c>
      <c r="D56" s="102" t="s">
        <v>311</v>
      </c>
      <c r="E56" s="976"/>
      <c r="F56" s="1021"/>
      <c r="G56" s="1022">
        <f>'P2'!H56</f>
        <v>0.1</v>
      </c>
      <c r="H56" s="1023">
        <f>'P2'!L56</f>
        <v>0</v>
      </c>
      <c r="I56" s="1069">
        <f t="shared" si="0"/>
        <v>0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</row>
    <row r="57" spans="1:231" s="92" customFormat="1" ht="15">
      <c r="A57" s="801"/>
      <c r="B57" s="97"/>
      <c r="C57" s="112">
        <v>633006</v>
      </c>
      <c r="D57" s="102" t="s">
        <v>274</v>
      </c>
      <c r="E57" s="976"/>
      <c r="F57" s="1021"/>
      <c r="G57" s="1022">
        <f>'P2'!H54</f>
        <v>1.7</v>
      </c>
      <c r="H57" s="1024">
        <f>'P2'!L54</f>
        <v>2.1</v>
      </c>
      <c r="I57" s="1069">
        <f t="shared" si="0"/>
        <v>123.52941176470588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</row>
    <row r="58" spans="1:231" s="92" customFormat="1" ht="15">
      <c r="A58" s="801"/>
      <c r="B58" s="97"/>
      <c r="C58" s="112">
        <v>637014</v>
      </c>
      <c r="D58" s="102" t="s">
        <v>16</v>
      </c>
      <c r="E58" s="976"/>
      <c r="F58" s="1021"/>
      <c r="G58" s="1022">
        <f>'P2'!H55</f>
        <v>3.2</v>
      </c>
      <c r="H58" s="1024">
        <f>'P2'!L55</f>
        <v>3</v>
      </c>
      <c r="I58" s="1069">
        <f t="shared" si="0"/>
        <v>93.75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</row>
    <row r="59" spans="1:231" s="92" customFormat="1" ht="15">
      <c r="A59" s="801"/>
      <c r="B59" s="97"/>
      <c r="C59" s="112">
        <v>637026</v>
      </c>
      <c r="D59" s="102" t="s">
        <v>288</v>
      </c>
      <c r="E59" s="976"/>
      <c r="F59" s="1021">
        <v>9</v>
      </c>
      <c r="G59" s="1022">
        <f>'P2'!H53</f>
        <v>11.5</v>
      </c>
      <c r="H59" s="1023">
        <f>'P2'!L53</f>
        <v>9.7</v>
      </c>
      <c r="I59" s="1069">
        <f t="shared" si="0"/>
        <v>84.34782608695652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</row>
    <row r="60" spans="1:231" s="92" customFormat="1" ht="15">
      <c r="A60" s="801"/>
      <c r="B60" s="97"/>
      <c r="C60" s="112">
        <v>637027</v>
      </c>
      <c r="D60" s="102" t="s">
        <v>296</v>
      </c>
      <c r="E60" s="976"/>
      <c r="F60" s="1021">
        <v>6</v>
      </c>
      <c r="G60" s="1022">
        <f>'P2'!H52</f>
        <v>3.5</v>
      </c>
      <c r="H60" s="1023">
        <f>'P2'!L52</f>
        <v>3</v>
      </c>
      <c r="I60" s="1069">
        <f t="shared" si="0"/>
        <v>85.71428571428571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</row>
    <row r="61" spans="1:234" s="92" customFormat="1" ht="15">
      <c r="A61" s="801"/>
      <c r="B61" s="97"/>
      <c r="C61" s="98">
        <v>640</v>
      </c>
      <c r="D61" s="99" t="s">
        <v>372</v>
      </c>
      <c r="E61" s="964"/>
      <c r="F61" s="1012">
        <f>SUM(F62:F64)</f>
        <v>10</v>
      </c>
      <c r="G61" s="950">
        <f>SUM(G62:G64)</f>
        <v>5.5</v>
      </c>
      <c r="H61" s="951">
        <f>SUM(H62:H64)</f>
        <v>15.399999999999999</v>
      </c>
      <c r="I61" s="1067">
        <f t="shared" si="0"/>
        <v>280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</row>
    <row r="62" spans="1:234" s="92" customFormat="1" ht="15">
      <c r="A62" s="801"/>
      <c r="B62" s="97"/>
      <c r="C62" s="104" t="s">
        <v>472</v>
      </c>
      <c r="D62" s="105" t="s">
        <v>283</v>
      </c>
      <c r="E62" s="964"/>
      <c r="F62" s="1021">
        <v>9.5</v>
      </c>
      <c r="G62" s="1022">
        <f>'P12'!I14</f>
        <v>5</v>
      </c>
      <c r="H62" s="1023">
        <f>'P12'!L14</f>
        <v>14.7</v>
      </c>
      <c r="I62" s="1069">
        <f t="shared" si="0"/>
        <v>294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</row>
    <row r="63" spans="1:234" s="92" customFormat="1" ht="15">
      <c r="A63" s="801"/>
      <c r="B63" s="97"/>
      <c r="C63" s="104" t="s">
        <v>373</v>
      </c>
      <c r="D63" s="105" t="s">
        <v>284</v>
      </c>
      <c r="E63" s="979"/>
      <c r="F63" s="1021">
        <v>0.2</v>
      </c>
      <c r="G63" s="1022">
        <f>'P12'!I19</f>
        <v>0.2</v>
      </c>
      <c r="H63" s="1023">
        <f>'P12'!L19</f>
        <v>0.2</v>
      </c>
      <c r="I63" s="1069">
        <f t="shared" si="0"/>
        <v>100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</row>
    <row r="64" spans="1:234" s="92" customFormat="1" ht="15">
      <c r="A64" s="801"/>
      <c r="B64" s="97"/>
      <c r="C64" s="104" t="s">
        <v>374</v>
      </c>
      <c r="D64" s="105" t="s">
        <v>277</v>
      </c>
      <c r="E64" s="979"/>
      <c r="F64" s="1021">
        <v>0.30000000000000004</v>
      </c>
      <c r="G64" s="1022">
        <f>'P12'!I27</f>
        <v>0.3</v>
      </c>
      <c r="H64" s="1023">
        <f>'P12'!L27</f>
        <v>0.5</v>
      </c>
      <c r="I64" s="1069">
        <f t="shared" si="0"/>
        <v>166.66666666666669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</row>
    <row r="65" spans="1:234" s="92" customFormat="1" ht="15">
      <c r="A65" s="801"/>
      <c r="B65" s="97"/>
      <c r="C65" s="98">
        <v>650</v>
      </c>
      <c r="D65" s="99" t="s">
        <v>375</v>
      </c>
      <c r="E65" s="964"/>
      <c r="F65" s="1012">
        <f>SUM(F66:F67)</f>
        <v>48</v>
      </c>
      <c r="G65" s="950">
        <f>SUM(G66:G67)</f>
        <v>30</v>
      </c>
      <c r="H65" s="951">
        <f>SUM(H66:H67)</f>
        <v>30.5</v>
      </c>
      <c r="I65" s="1067">
        <f t="shared" si="0"/>
        <v>101.66666666666666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</row>
    <row r="66" spans="1:234" s="92" customFormat="1" ht="15">
      <c r="A66" s="801"/>
      <c r="B66" s="97"/>
      <c r="C66" s="104" t="s">
        <v>376</v>
      </c>
      <c r="D66" s="105" t="s">
        <v>377</v>
      </c>
      <c r="E66" s="964"/>
      <c r="F66" s="1021">
        <v>48</v>
      </c>
      <c r="G66" s="1022">
        <f>'P12'!J45</f>
        <v>30</v>
      </c>
      <c r="H66" s="1024">
        <v>30</v>
      </c>
      <c r="I66" s="1069">
        <f t="shared" si="0"/>
        <v>100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</row>
    <row r="67" spans="1:234" s="92" customFormat="1" ht="15">
      <c r="A67" s="801"/>
      <c r="B67" s="97"/>
      <c r="C67" s="106">
        <v>653002</v>
      </c>
      <c r="D67" s="105" t="s">
        <v>576</v>
      </c>
      <c r="E67" s="964"/>
      <c r="F67" s="1021"/>
      <c r="G67" s="1022"/>
      <c r="H67" s="1024">
        <v>0.5</v>
      </c>
      <c r="I67" s="1069">
        <v>0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</row>
    <row r="68" spans="1:234" s="92" customFormat="1" ht="15">
      <c r="A68" s="801"/>
      <c r="B68" s="114" t="s">
        <v>378</v>
      </c>
      <c r="C68" s="98"/>
      <c r="D68" s="97" t="s">
        <v>5</v>
      </c>
      <c r="E68" s="964"/>
      <c r="F68" s="1012">
        <f>SUM(F69:F71)</f>
        <v>6.3</v>
      </c>
      <c r="G68" s="950">
        <f>SUM(G69:G71)</f>
        <v>15.4</v>
      </c>
      <c r="H68" s="951">
        <f>SUM(H69:H71)</f>
        <v>16.1</v>
      </c>
      <c r="I68" s="1067">
        <f aca="true" t="shared" si="1" ref="I68:I132">+H68/G68*100</f>
        <v>104.54545454545455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</row>
    <row r="69" spans="1:234" s="92" customFormat="1" ht="15">
      <c r="A69" s="803"/>
      <c r="B69" s="97"/>
      <c r="C69" s="104" t="s">
        <v>361</v>
      </c>
      <c r="D69" s="105" t="s">
        <v>250</v>
      </c>
      <c r="E69" s="979"/>
      <c r="F69" s="1021">
        <v>1.3</v>
      </c>
      <c r="G69" s="1022">
        <f>'P12'!H47</f>
        <v>3.5</v>
      </c>
      <c r="H69" s="1023">
        <f>'P12'!L47</f>
        <v>3.5</v>
      </c>
      <c r="I69" s="1069">
        <f t="shared" si="1"/>
        <v>100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</row>
    <row r="70" spans="1:234" s="92" customFormat="1" ht="15">
      <c r="A70" s="801"/>
      <c r="B70" s="97"/>
      <c r="C70" s="104" t="s">
        <v>366</v>
      </c>
      <c r="D70" s="105" t="s">
        <v>251</v>
      </c>
      <c r="E70" s="979"/>
      <c r="F70" s="1021">
        <v>5</v>
      </c>
      <c r="G70" s="1022">
        <f>'P12'!H48</f>
        <v>6</v>
      </c>
      <c r="H70" s="1023">
        <f>'P12'!L48</f>
        <v>6.7</v>
      </c>
      <c r="I70" s="1069">
        <f t="shared" si="1"/>
        <v>111.66666666666667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</row>
    <row r="71" spans="1:234" s="92" customFormat="1" ht="15">
      <c r="A71" s="801"/>
      <c r="B71" s="97"/>
      <c r="C71" s="106">
        <v>637035</v>
      </c>
      <c r="D71" s="105" t="s">
        <v>539</v>
      </c>
      <c r="E71" s="979"/>
      <c r="F71" s="1021"/>
      <c r="G71" s="1022">
        <f>'P12'!H49</f>
        <v>5.9</v>
      </c>
      <c r="H71" s="1023">
        <f>'P12'!L49</f>
        <v>5.9</v>
      </c>
      <c r="I71" s="1069">
        <f t="shared" si="1"/>
        <v>100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</row>
    <row r="72" spans="1:234" s="92" customFormat="1" ht="15">
      <c r="A72" s="801"/>
      <c r="B72" s="97" t="s">
        <v>266</v>
      </c>
      <c r="C72" s="98"/>
      <c r="D72" s="99" t="s">
        <v>267</v>
      </c>
      <c r="E72" s="964"/>
      <c r="F72" s="1012">
        <f>SUM(F73:F76)</f>
        <v>25.5</v>
      </c>
      <c r="G72" s="950">
        <f>SUM(G73:G76)</f>
        <v>26</v>
      </c>
      <c r="H72" s="951">
        <f>SUM(H73:H77)</f>
        <v>26.099999999999998</v>
      </c>
      <c r="I72" s="1067">
        <f t="shared" si="1"/>
        <v>100.38461538461539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</row>
    <row r="73" spans="1:234" s="92" customFormat="1" ht="15">
      <c r="A73" s="801"/>
      <c r="B73" s="97"/>
      <c r="C73" s="104">
        <v>610</v>
      </c>
      <c r="D73" s="105" t="s">
        <v>268</v>
      </c>
      <c r="E73" s="979"/>
      <c r="F73" s="1021">
        <v>17.5</v>
      </c>
      <c r="G73" s="1022">
        <f>'P12'!F39</f>
        <v>17.5</v>
      </c>
      <c r="H73" s="1024">
        <v>16.4</v>
      </c>
      <c r="I73" s="1069">
        <f t="shared" si="1"/>
        <v>93.71428571428571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</row>
    <row r="74" spans="1:234" s="92" customFormat="1" ht="15">
      <c r="A74" s="801"/>
      <c r="B74" s="97"/>
      <c r="C74" s="104">
        <v>620</v>
      </c>
      <c r="D74" s="105" t="s">
        <v>181</v>
      </c>
      <c r="E74" s="979"/>
      <c r="F74" s="1021">
        <v>6.1</v>
      </c>
      <c r="G74" s="1022">
        <f>'P12'!G40</f>
        <v>6.6</v>
      </c>
      <c r="H74" s="1023">
        <f>'P12'!L40</f>
        <v>6</v>
      </c>
      <c r="I74" s="1069">
        <f t="shared" si="1"/>
        <v>90.90909090909092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</row>
    <row r="75" spans="1:234" s="92" customFormat="1" ht="15">
      <c r="A75" s="801"/>
      <c r="B75" s="97"/>
      <c r="C75" s="104">
        <v>630</v>
      </c>
      <c r="D75" s="105" t="s">
        <v>269</v>
      </c>
      <c r="E75" s="979"/>
      <c r="F75" s="1021">
        <v>1.7000000000000002</v>
      </c>
      <c r="G75" s="1022">
        <f>'P12'!H41</f>
        <v>1.7</v>
      </c>
      <c r="H75" s="1023">
        <f>'P12'!L41</f>
        <v>1.5</v>
      </c>
      <c r="I75" s="1069">
        <f t="shared" si="1"/>
        <v>88.23529411764706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</row>
    <row r="76" spans="1:234" s="92" customFormat="1" ht="15">
      <c r="A76" s="801"/>
      <c r="B76" s="97"/>
      <c r="C76" s="104" t="s">
        <v>369</v>
      </c>
      <c r="D76" s="105" t="s">
        <v>182</v>
      </c>
      <c r="E76" s="979"/>
      <c r="F76" s="1021">
        <v>0.2</v>
      </c>
      <c r="G76" s="1022">
        <f>'P12'!H42</f>
        <v>0.2</v>
      </c>
      <c r="H76" s="1023">
        <f>'P12'!L42</f>
        <v>0.2</v>
      </c>
      <c r="I76" s="1069">
        <f t="shared" si="1"/>
        <v>100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</row>
    <row r="77" spans="1:234" s="92" customFormat="1" ht="15">
      <c r="A77" s="801"/>
      <c r="B77" s="97"/>
      <c r="C77" s="106">
        <v>642013</v>
      </c>
      <c r="D77" s="105" t="s">
        <v>592</v>
      </c>
      <c r="E77" s="979"/>
      <c r="F77" s="1021"/>
      <c r="G77" s="1022"/>
      <c r="H77" s="1023">
        <v>2</v>
      </c>
      <c r="I77" s="1069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</row>
    <row r="78" spans="1:234" s="92" customFormat="1" ht="15">
      <c r="A78" s="800">
        <v>3</v>
      </c>
      <c r="B78" s="93"/>
      <c r="C78" s="115"/>
      <c r="D78" s="95" t="s">
        <v>379</v>
      </c>
      <c r="E78" s="975"/>
      <c r="F78" s="1018">
        <f>SUM(F79:F84)</f>
        <v>104.89999999999999</v>
      </c>
      <c r="G78" s="1019">
        <f>SUM(G79:G84)</f>
        <v>100.3</v>
      </c>
      <c r="H78" s="1020">
        <f>SUM(H79:H84)</f>
        <v>96.10000000000001</v>
      </c>
      <c r="I78" s="1066">
        <f t="shared" si="1"/>
        <v>95.81256231306084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</row>
    <row r="79" spans="1:234" s="92" customFormat="1" ht="15">
      <c r="A79" s="801"/>
      <c r="B79" s="97" t="s">
        <v>72</v>
      </c>
      <c r="C79" s="104">
        <v>610</v>
      </c>
      <c r="D79" s="105" t="s">
        <v>380</v>
      </c>
      <c r="E79" s="979"/>
      <c r="F79" s="1021">
        <v>73.8</v>
      </c>
      <c r="G79" s="1022">
        <f>'P4'!F12</f>
        <v>69.2</v>
      </c>
      <c r="H79" s="1023">
        <f>'P4'!K12</f>
        <v>64.9</v>
      </c>
      <c r="I79" s="1069">
        <f t="shared" si="1"/>
        <v>93.78612716763006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</row>
    <row r="80" spans="1:234" s="92" customFormat="1" ht="15">
      <c r="A80" s="801"/>
      <c r="B80" s="97"/>
      <c r="C80" s="104">
        <v>620</v>
      </c>
      <c r="D80" s="105" t="s">
        <v>181</v>
      </c>
      <c r="E80" s="979"/>
      <c r="F80" s="1021">
        <v>25.8</v>
      </c>
      <c r="G80" s="1022">
        <f>'P4'!G13</f>
        <v>25.8</v>
      </c>
      <c r="H80" s="1023">
        <f>'P4'!K13</f>
        <v>25.3</v>
      </c>
      <c r="I80" s="1069">
        <f t="shared" si="1"/>
        <v>98.06201550387597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</row>
    <row r="81" spans="1:234" s="92" customFormat="1" ht="15">
      <c r="A81" s="801"/>
      <c r="B81" s="97"/>
      <c r="C81" s="104" t="s">
        <v>369</v>
      </c>
      <c r="D81" s="105" t="s">
        <v>381</v>
      </c>
      <c r="E81" s="979"/>
      <c r="F81" s="1021">
        <v>0.7</v>
      </c>
      <c r="G81" s="1022">
        <f>'P4'!H15</f>
        <v>0.7</v>
      </c>
      <c r="H81" s="1023">
        <f>'P4'!K15</f>
        <v>0.7</v>
      </c>
      <c r="I81" s="1069">
        <f t="shared" si="1"/>
        <v>100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</row>
    <row r="82" spans="1:234" s="92" customFormat="1" ht="12" customHeight="1">
      <c r="A82" s="801"/>
      <c r="B82" s="97"/>
      <c r="C82" s="116">
        <v>632</v>
      </c>
      <c r="D82" s="105" t="s">
        <v>382</v>
      </c>
      <c r="E82" s="979"/>
      <c r="F82" s="1021">
        <v>0.5</v>
      </c>
      <c r="G82" s="1022">
        <f>'P4'!H17</f>
        <v>0.5</v>
      </c>
      <c r="H82" s="1024">
        <f>+'P4'!K17</f>
        <v>0.3</v>
      </c>
      <c r="I82" s="1069">
        <f t="shared" si="1"/>
        <v>60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</row>
    <row r="83" spans="1:234" s="92" customFormat="1" ht="15">
      <c r="A83" s="801"/>
      <c r="B83" s="117"/>
      <c r="C83" s="104">
        <v>633</v>
      </c>
      <c r="D83" s="105" t="s">
        <v>11</v>
      </c>
      <c r="E83" s="979"/>
      <c r="F83" s="1021">
        <v>2.5</v>
      </c>
      <c r="G83" s="1022">
        <f>'P4'!H14</f>
        <v>2.5</v>
      </c>
      <c r="H83" s="1024">
        <f>+'P4'!K14</f>
        <v>2.5</v>
      </c>
      <c r="I83" s="1069">
        <f t="shared" si="1"/>
        <v>100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</row>
    <row r="84" spans="1:234" s="92" customFormat="1" ht="15">
      <c r="A84" s="801"/>
      <c r="B84" s="97"/>
      <c r="C84" s="104">
        <v>634</v>
      </c>
      <c r="D84" s="105" t="s">
        <v>169</v>
      </c>
      <c r="E84" s="979"/>
      <c r="F84" s="1021">
        <v>1.6</v>
      </c>
      <c r="G84" s="1022">
        <f>'P4'!H16</f>
        <v>1.6</v>
      </c>
      <c r="H84" s="1023">
        <f>'P4'!K16</f>
        <v>2.4</v>
      </c>
      <c r="I84" s="1069">
        <f t="shared" si="1"/>
        <v>149.99999999999997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</row>
    <row r="85" spans="1:234" s="92" customFormat="1" ht="15">
      <c r="A85" s="801"/>
      <c r="B85" s="97"/>
      <c r="C85" s="109" t="s">
        <v>383</v>
      </c>
      <c r="D85" s="99" t="s">
        <v>384</v>
      </c>
      <c r="E85" s="964"/>
      <c r="F85" s="1025">
        <v>0.8</v>
      </c>
      <c r="G85" s="1026">
        <f>'P4'!I20</f>
        <v>0.8</v>
      </c>
      <c r="H85" s="1027">
        <f>'P4'!K20</f>
        <v>0.9</v>
      </c>
      <c r="I85" s="1070">
        <f t="shared" si="1"/>
        <v>112.5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</row>
    <row r="86" spans="1:234" s="92" customFormat="1" ht="15">
      <c r="A86" s="800">
        <v>4</v>
      </c>
      <c r="B86" s="973" t="s">
        <v>586</v>
      </c>
      <c r="C86" s="94"/>
      <c r="D86" s="95" t="s">
        <v>385</v>
      </c>
      <c r="E86" s="975"/>
      <c r="F86" s="1018">
        <f>SUM(F87:F90)</f>
        <v>146.4</v>
      </c>
      <c r="G86" s="1019">
        <f>SUM(G87:G90)</f>
        <v>185.4</v>
      </c>
      <c r="H86" s="1020">
        <f>SUM(H87:H90)</f>
        <v>164.60000000000002</v>
      </c>
      <c r="I86" s="1066">
        <f t="shared" si="1"/>
        <v>88.78101402373248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</row>
    <row r="87" spans="1:234" s="92" customFormat="1" ht="13.5" customHeight="1">
      <c r="A87" s="801"/>
      <c r="B87" s="113"/>
      <c r="C87" s="101" t="s">
        <v>346</v>
      </c>
      <c r="D87" s="102" t="s">
        <v>473</v>
      </c>
      <c r="E87" s="979"/>
      <c r="F87" s="1021">
        <v>5</v>
      </c>
      <c r="G87" s="1022">
        <f>'P2'!H48+'P10'!H19</f>
        <v>5.7</v>
      </c>
      <c r="H87" s="1024">
        <f>'P2'!L48+'P10'!K19</f>
        <v>6.200000000000001</v>
      </c>
      <c r="I87" s="1069">
        <f t="shared" si="1"/>
        <v>108.77192982456141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</row>
    <row r="88" spans="1:234" s="120" customFormat="1" ht="13.5" customHeight="1">
      <c r="A88" s="805"/>
      <c r="B88" s="118"/>
      <c r="C88" s="101" t="s">
        <v>359</v>
      </c>
      <c r="D88" s="102" t="s">
        <v>360</v>
      </c>
      <c r="E88" s="980"/>
      <c r="F88" s="1021">
        <v>141</v>
      </c>
      <c r="G88" s="1022">
        <f>'P10'!H20+'P3'!I19</f>
        <v>15.9</v>
      </c>
      <c r="H88" s="1024">
        <f>'P10'!K20+'P3'!L19</f>
        <v>11</v>
      </c>
      <c r="I88" s="1069">
        <f t="shared" si="1"/>
        <v>69.18238993710692</v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</row>
    <row r="89" spans="1:234" s="92" customFormat="1" ht="13.5" customHeight="1">
      <c r="A89" s="801"/>
      <c r="B89" s="97"/>
      <c r="C89" s="101" t="s">
        <v>361</v>
      </c>
      <c r="D89" s="102" t="s">
        <v>386</v>
      </c>
      <c r="E89" s="979"/>
      <c r="F89" s="1021"/>
      <c r="G89" s="1022">
        <f>+'P10'!H14+'P10'!H15</f>
        <v>138.8</v>
      </c>
      <c r="H89" s="1024">
        <f>'P10'!K14+'P10'!K15</f>
        <v>117.1</v>
      </c>
      <c r="I89" s="1069">
        <f t="shared" si="1"/>
        <v>84.36599423631122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</row>
    <row r="90" spans="1:234" s="92" customFormat="1" ht="13.5" customHeight="1">
      <c r="A90" s="801"/>
      <c r="B90" s="97"/>
      <c r="C90" s="101" t="s">
        <v>364</v>
      </c>
      <c r="D90" s="102" t="s">
        <v>387</v>
      </c>
      <c r="E90" s="979"/>
      <c r="F90" s="1021">
        <v>0.4</v>
      </c>
      <c r="G90" s="1022">
        <f>'P1'!I19</f>
        <v>25</v>
      </c>
      <c r="H90" s="1024">
        <f>'P1'!M19</f>
        <v>30.3</v>
      </c>
      <c r="I90" s="1069">
        <f t="shared" si="1"/>
        <v>121.2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</row>
    <row r="91" spans="1:234" s="92" customFormat="1" ht="15">
      <c r="A91" s="806"/>
      <c r="B91" s="121"/>
      <c r="C91" s="122"/>
      <c r="D91" s="123" t="s">
        <v>388</v>
      </c>
      <c r="E91" s="981"/>
      <c r="F91" s="1028">
        <f>F92</f>
        <v>50</v>
      </c>
      <c r="G91" s="1029">
        <f>G92</f>
        <v>50</v>
      </c>
      <c r="H91" s="1030">
        <f>H92</f>
        <v>52.3</v>
      </c>
      <c r="I91" s="1071">
        <f t="shared" si="1"/>
        <v>104.60000000000001</v>
      </c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</row>
    <row r="92" spans="1:234" s="92" customFormat="1" ht="15">
      <c r="A92" s="807"/>
      <c r="B92" s="972" t="s">
        <v>585</v>
      </c>
      <c r="C92" s="104" t="s">
        <v>346</v>
      </c>
      <c r="D92" s="105" t="s">
        <v>389</v>
      </c>
      <c r="E92" s="964"/>
      <c r="F92" s="1021">
        <v>50</v>
      </c>
      <c r="G92" s="1022">
        <f>'P7'!H12</f>
        <v>50</v>
      </c>
      <c r="H92" s="1023">
        <f>'P7'!L12</f>
        <v>52.3</v>
      </c>
      <c r="I92" s="1069">
        <f t="shared" si="1"/>
        <v>104.60000000000001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</row>
    <row r="93" spans="1:234" s="92" customFormat="1" ht="15">
      <c r="A93" s="800">
        <v>5</v>
      </c>
      <c r="B93" s="93"/>
      <c r="C93" s="115"/>
      <c r="D93" s="95" t="s">
        <v>474</v>
      </c>
      <c r="E93" s="975"/>
      <c r="F93" s="1018">
        <f>SUM(F94:F98)</f>
        <v>741.3</v>
      </c>
      <c r="G93" s="1019">
        <f>SUM(G94:G98)</f>
        <v>740.9</v>
      </c>
      <c r="H93" s="1020">
        <f>SUM(H94:H98)</f>
        <v>740.3</v>
      </c>
      <c r="I93" s="1066">
        <f t="shared" si="1"/>
        <v>99.91901741125658</v>
      </c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</row>
    <row r="94" spans="1:234" s="92" customFormat="1" ht="13.5" customHeight="1">
      <c r="A94" s="801"/>
      <c r="B94" s="971" t="s">
        <v>584</v>
      </c>
      <c r="C94" s="102" t="s">
        <v>322</v>
      </c>
      <c r="D94" s="102" t="s">
        <v>475</v>
      </c>
      <c r="E94" s="982"/>
      <c r="F94" s="1021">
        <v>7</v>
      </c>
      <c r="G94" s="1022">
        <f>'P5'!H12</f>
        <v>6.6</v>
      </c>
      <c r="H94" s="1023">
        <f>'P5'!L12</f>
        <v>6.9</v>
      </c>
      <c r="I94" s="1069">
        <f t="shared" si="1"/>
        <v>104.54545454545456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</row>
    <row r="95" spans="1:234" s="92" customFormat="1" ht="13.5" customHeight="1">
      <c r="A95" s="801"/>
      <c r="B95" s="97"/>
      <c r="C95" s="102" t="s">
        <v>359</v>
      </c>
      <c r="D95" s="102" t="s">
        <v>360</v>
      </c>
      <c r="E95" s="983"/>
      <c r="F95" s="1021">
        <v>243.4</v>
      </c>
      <c r="G95" s="1031">
        <f>'P5'!H13</f>
        <v>108.4</v>
      </c>
      <c r="H95" s="1024">
        <f>'P5'!L13</f>
        <v>106.2</v>
      </c>
      <c r="I95" s="1072">
        <f t="shared" si="1"/>
        <v>97.97047970479704</v>
      </c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</row>
    <row r="96" spans="1:234" s="92" customFormat="1" ht="13.5" customHeight="1">
      <c r="A96" s="801"/>
      <c r="B96" s="97"/>
      <c r="C96" s="124">
        <v>637012</v>
      </c>
      <c r="D96" s="108" t="s">
        <v>537</v>
      </c>
      <c r="E96" s="983"/>
      <c r="F96" s="1021"/>
      <c r="G96" s="1022">
        <f>'P5'!H14</f>
        <v>135</v>
      </c>
      <c r="H96" s="1023">
        <f>'P5'!L14</f>
        <v>138.9</v>
      </c>
      <c r="I96" s="1069">
        <f t="shared" si="1"/>
        <v>102.8888888888889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</row>
    <row r="97" spans="1:234" s="92" customFormat="1" ht="13.5" customHeight="1">
      <c r="A97" s="807"/>
      <c r="B97" s="113"/>
      <c r="C97" s="102" t="s">
        <v>390</v>
      </c>
      <c r="D97" s="102" t="s">
        <v>391</v>
      </c>
      <c r="E97" s="983"/>
      <c r="F97" s="1021">
        <v>475</v>
      </c>
      <c r="G97" s="1022">
        <f>'P3'!I18</f>
        <v>475</v>
      </c>
      <c r="H97" s="1023">
        <f>'P3'!L18</f>
        <v>475</v>
      </c>
      <c r="I97" s="1069">
        <f t="shared" si="1"/>
        <v>100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</row>
    <row r="98" spans="1:234" s="92" customFormat="1" ht="13.5" customHeight="1">
      <c r="A98" s="801"/>
      <c r="B98" s="97"/>
      <c r="C98" s="102" t="s">
        <v>392</v>
      </c>
      <c r="D98" s="102" t="s">
        <v>393</v>
      </c>
      <c r="E98" s="983"/>
      <c r="F98" s="1021">
        <v>15.9</v>
      </c>
      <c r="G98" s="1022">
        <f>'P6'!I12</f>
        <v>15.9</v>
      </c>
      <c r="H98" s="1023">
        <f>'P6'!K12</f>
        <v>13.3</v>
      </c>
      <c r="I98" s="1069">
        <f t="shared" si="1"/>
        <v>83.64779874213836</v>
      </c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</row>
    <row r="99" spans="1:234" s="92" customFormat="1" ht="15">
      <c r="A99" s="800">
        <v>6</v>
      </c>
      <c r="B99" s="93"/>
      <c r="C99" s="115"/>
      <c r="D99" s="95" t="s">
        <v>271</v>
      </c>
      <c r="E99" s="984"/>
      <c r="F99" s="1018">
        <f>SUM(F100:F105)</f>
        <v>32.2</v>
      </c>
      <c r="G99" s="1019">
        <f>SUM(G100:G105)</f>
        <v>36.800000000000004</v>
      </c>
      <c r="H99" s="1020">
        <f>SUM(H100:H105)</f>
        <v>16.900000000000002</v>
      </c>
      <c r="I99" s="1066">
        <f t="shared" si="1"/>
        <v>45.92391304347826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</row>
    <row r="100" spans="1:234" s="92" customFormat="1" ht="15">
      <c r="A100" s="801"/>
      <c r="B100" s="970" t="s">
        <v>583</v>
      </c>
      <c r="C100" s="102">
        <v>610</v>
      </c>
      <c r="D100" s="102" t="s">
        <v>272</v>
      </c>
      <c r="E100" s="983"/>
      <c r="F100" s="1021"/>
      <c r="G100" s="1032">
        <f>'P12'!F51</f>
        <v>1.7</v>
      </c>
      <c r="H100" s="1033">
        <f>'P12'!L51</f>
        <v>1.7</v>
      </c>
      <c r="I100" s="1073">
        <f t="shared" si="1"/>
        <v>100</v>
      </c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</row>
    <row r="101" spans="1:234" s="92" customFormat="1" ht="15">
      <c r="A101" s="801"/>
      <c r="B101" s="97"/>
      <c r="C101" s="102">
        <v>620</v>
      </c>
      <c r="D101" s="102" t="s">
        <v>273</v>
      </c>
      <c r="E101" s="982"/>
      <c r="F101" s="1021"/>
      <c r="G101" s="1022">
        <f>'P12'!G52</f>
        <v>0.6</v>
      </c>
      <c r="H101" s="1023">
        <f>'P12'!L52</f>
        <v>0.6</v>
      </c>
      <c r="I101" s="1069">
        <f t="shared" si="1"/>
        <v>100</v>
      </c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</row>
    <row r="102" spans="1:234" s="92" customFormat="1" ht="15">
      <c r="A102" s="801"/>
      <c r="B102" s="97"/>
      <c r="C102" s="101" t="s">
        <v>324</v>
      </c>
      <c r="D102" s="102" t="s">
        <v>274</v>
      </c>
      <c r="E102" s="982"/>
      <c r="F102" s="1021"/>
      <c r="G102" s="1022">
        <f>'P12'!H53</f>
        <v>0.7</v>
      </c>
      <c r="H102" s="1023">
        <f>'P12'!L53</f>
        <v>0.7</v>
      </c>
      <c r="I102" s="1069">
        <f t="shared" si="1"/>
        <v>100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</row>
    <row r="103" spans="1:234" s="92" customFormat="1" ht="15">
      <c r="A103" s="801"/>
      <c r="B103" s="97"/>
      <c r="C103" s="101" t="s">
        <v>327</v>
      </c>
      <c r="D103" s="102" t="s">
        <v>275</v>
      </c>
      <c r="E103" s="982"/>
      <c r="F103" s="1021"/>
      <c r="G103" s="1022">
        <f>'P12'!H54</f>
        <v>1.4</v>
      </c>
      <c r="H103" s="1023">
        <f>'P12'!L54</f>
        <v>1.4</v>
      </c>
      <c r="I103" s="1069">
        <f t="shared" si="1"/>
        <v>100</v>
      </c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</row>
    <row r="104" spans="1:234" s="92" customFormat="1" ht="15">
      <c r="A104" s="801"/>
      <c r="B104" s="97"/>
      <c r="C104" s="125">
        <v>635006</v>
      </c>
      <c r="D104" s="102" t="s">
        <v>499</v>
      </c>
      <c r="E104" s="982"/>
      <c r="F104" s="1021">
        <v>32.2</v>
      </c>
      <c r="G104" s="1022">
        <f>'P3'!I20+'P3'!I21</f>
        <v>32.2</v>
      </c>
      <c r="H104" s="1023">
        <f>'P3'!L20+'P3'!L21</f>
        <v>12.3</v>
      </c>
      <c r="I104" s="1069">
        <f t="shared" si="1"/>
        <v>38.19875776397515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</row>
    <row r="105" spans="1:234" s="92" customFormat="1" ht="15">
      <c r="A105" s="801"/>
      <c r="B105" s="97"/>
      <c r="C105" s="101" t="s">
        <v>368</v>
      </c>
      <c r="D105" s="102" t="s">
        <v>276</v>
      </c>
      <c r="E105" s="982"/>
      <c r="F105" s="1021"/>
      <c r="G105" s="1022">
        <f>'P12'!H55</f>
        <v>0.2</v>
      </c>
      <c r="H105" s="1023">
        <f>'P12'!L55</f>
        <v>0.2</v>
      </c>
      <c r="I105" s="1069">
        <f t="shared" si="1"/>
        <v>100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</row>
    <row r="106" spans="1:234" s="92" customFormat="1" ht="15">
      <c r="A106" s="801"/>
      <c r="B106" s="97"/>
      <c r="C106" s="98"/>
      <c r="D106" s="99" t="s">
        <v>394</v>
      </c>
      <c r="E106" s="985"/>
      <c r="F106" s="1012">
        <f>F107</f>
        <v>56.7</v>
      </c>
      <c r="G106" s="950">
        <f>G107</f>
        <v>56.7</v>
      </c>
      <c r="H106" s="951">
        <f>H107</f>
        <v>59.1</v>
      </c>
      <c r="I106" s="1067">
        <f t="shared" si="1"/>
        <v>104.23280423280423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</row>
    <row r="107" spans="1:234" s="92" customFormat="1" ht="15">
      <c r="A107" s="801"/>
      <c r="B107" s="97" t="s">
        <v>298</v>
      </c>
      <c r="C107" s="104" t="s">
        <v>395</v>
      </c>
      <c r="D107" s="105" t="s">
        <v>396</v>
      </c>
      <c r="E107" s="985"/>
      <c r="F107" s="1021">
        <v>56.7</v>
      </c>
      <c r="G107" s="1022">
        <f>'P2'!H49</f>
        <v>56.7</v>
      </c>
      <c r="H107" s="1023">
        <f>'P2'!L49</f>
        <v>59.1</v>
      </c>
      <c r="I107" s="1069">
        <f t="shared" si="1"/>
        <v>104.23280423280423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</row>
    <row r="108" spans="1:234" s="92" customFormat="1" ht="15">
      <c r="A108" s="800">
        <v>8</v>
      </c>
      <c r="B108" s="93"/>
      <c r="C108" s="115"/>
      <c r="D108" s="95" t="s">
        <v>397</v>
      </c>
      <c r="E108" s="984"/>
      <c r="F108" s="1018">
        <f>SUM(F109:F123)</f>
        <v>177.3</v>
      </c>
      <c r="G108" s="1019">
        <f>SUM(G109:G123)</f>
        <v>181.3</v>
      </c>
      <c r="H108" s="1020">
        <f>SUM(H109:H123)</f>
        <v>172.60000000000002</v>
      </c>
      <c r="I108" s="1066">
        <f t="shared" si="1"/>
        <v>95.20132377275236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</row>
    <row r="109" spans="1:234" s="92" customFormat="1" ht="12.75" customHeight="1">
      <c r="A109" s="801"/>
      <c r="B109" s="970" t="s">
        <v>582</v>
      </c>
      <c r="C109" s="102">
        <v>610</v>
      </c>
      <c r="D109" s="102" t="s">
        <v>398</v>
      </c>
      <c r="E109" s="983"/>
      <c r="F109" s="1021">
        <v>38.8</v>
      </c>
      <c r="G109" s="1022">
        <f>'P9'!F13</f>
        <v>38.8</v>
      </c>
      <c r="H109" s="1024">
        <v>36.8</v>
      </c>
      <c r="I109" s="1069">
        <f t="shared" si="1"/>
        <v>94.84536082474226</v>
      </c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</row>
    <row r="110" spans="1:234" s="92" customFormat="1" ht="13.5" customHeight="1">
      <c r="A110" s="801"/>
      <c r="B110" s="97"/>
      <c r="C110" s="102">
        <v>620</v>
      </c>
      <c r="D110" s="102" t="s">
        <v>181</v>
      </c>
      <c r="E110" s="983"/>
      <c r="F110" s="1021">
        <v>13.6</v>
      </c>
      <c r="G110" s="1022">
        <f>'P9'!G13</f>
        <v>15.1</v>
      </c>
      <c r="H110" s="1024">
        <v>14.6</v>
      </c>
      <c r="I110" s="1069">
        <f t="shared" si="1"/>
        <v>96.68874172185431</v>
      </c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</row>
    <row r="111" spans="1:234" s="92" customFormat="1" ht="15">
      <c r="A111" s="801"/>
      <c r="B111" s="97"/>
      <c r="C111" s="102" t="s">
        <v>395</v>
      </c>
      <c r="D111" s="102" t="s">
        <v>168</v>
      </c>
      <c r="E111" s="983"/>
      <c r="F111" s="1021">
        <v>53</v>
      </c>
      <c r="G111" s="1022">
        <f>'P9'!H14</f>
        <v>53</v>
      </c>
      <c r="H111" s="1024">
        <f>'P9'!L14</f>
        <v>53.00000000000001</v>
      </c>
      <c r="I111" s="1069">
        <f t="shared" si="1"/>
        <v>100.00000000000003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</row>
    <row r="112" spans="1:234" s="92" customFormat="1" ht="15">
      <c r="A112" s="801"/>
      <c r="B112" s="97"/>
      <c r="C112" s="102" t="s">
        <v>313</v>
      </c>
      <c r="D112" s="102" t="s">
        <v>314</v>
      </c>
      <c r="E112" s="983"/>
      <c r="F112" s="1021">
        <v>7</v>
      </c>
      <c r="G112" s="1022">
        <f>'P9'!H15</f>
        <v>7</v>
      </c>
      <c r="H112" s="1024">
        <f>'P9'!L15</f>
        <v>4.9</v>
      </c>
      <c r="I112" s="1069">
        <f t="shared" si="1"/>
        <v>70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</row>
    <row r="113" spans="1:234" s="92" customFormat="1" ht="15">
      <c r="A113" s="801"/>
      <c r="B113" s="97"/>
      <c r="C113" s="102" t="s">
        <v>315</v>
      </c>
      <c r="D113" s="102" t="s">
        <v>399</v>
      </c>
      <c r="E113" s="983"/>
      <c r="F113" s="1021">
        <v>0.8</v>
      </c>
      <c r="G113" s="1022">
        <f>'P9'!H16</f>
        <v>0.8</v>
      </c>
      <c r="H113" s="1024">
        <f>'P9'!L16</f>
        <v>0.7</v>
      </c>
      <c r="I113" s="1069">
        <f t="shared" si="1"/>
        <v>87.49999999999999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</row>
    <row r="114" spans="1:234" s="92" customFormat="1" ht="15">
      <c r="A114" s="801"/>
      <c r="B114" s="97"/>
      <c r="C114" s="102" t="s">
        <v>324</v>
      </c>
      <c r="D114" s="102" t="s">
        <v>274</v>
      </c>
      <c r="E114" s="983"/>
      <c r="F114" s="1021">
        <v>3</v>
      </c>
      <c r="G114" s="1022">
        <f>'P9'!H18</f>
        <v>3</v>
      </c>
      <c r="H114" s="1024">
        <f>'P9'!L18</f>
        <v>3.6</v>
      </c>
      <c r="I114" s="1069">
        <f t="shared" si="1"/>
        <v>120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</row>
    <row r="115" spans="1:234" s="92" customFormat="1" ht="15">
      <c r="A115" s="801"/>
      <c r="B115" s="97"/>
      <c r="C115" s="102" t="s">
        <v>332</v>
      </c>
      <c r="D115" s="102" t="s">
        <v>44</v>
      </c>
      <c r="E115" s="983"/>
      <c r="F115" s="1021">
        <v>0.2</v>
      </c>
      <c r="G115" s="1022">
        <f>'P9'!H19</f>
        <v>0.2</v>
      </c>
      <c r="H115" s="1024">
        <f>'P9'!L19</f>
        <v>0.3</v>
      </c>
      <c r="I115" s="1069">
        <f t="shared" si="1"/>
        <v>149.99999999999997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</row>
    <row r="116" spans="1:234" s="92" customFormat="1" ht="15">
      <c r="A116" s="801"/>
      <c r="B116" s="97"/>
      <c r="C116" s="107" t="s">
        <v>334</v>
      </c>
      <c r="D116" s="102" t="s">
        <v>476</v>
      </c>
      <c r="E116" s="982"/>
      <c r="F116" s="1021">
        <v>3</v>
      </c>
      <c r="G116" s="1022">
        <f>'P9'!H20</f>
        <v>3</v>
      </c>
      <c r="H116" s="1024">
        <f>'P9'!L20</f>
        <v>0</v>
      </c>
      <c r="I116" s="1069">
        <f t="shared" si="1"/>
        <v>0</v>
      </c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</row>
    <row r="117" spans="1:234" s="92" customFormat="1" ht="15">
      <c r="A117" s="801"/>
      <c r="B117" s="97"/>
      <c r="C117" s="124">
        <v>635004</v>
      </c>
      <c r="D117" s="108" t="s">
        <v>475</v>
      </c>
      <c r="E117" s="982"/>
      <c r="F117" s="1021"/>
      <c r="G117" s="1022">
        <f>'P9'!H25</f>
        <v>2.5</v>
      </c>
      <c r="H117" s="1024">
        <f>'P9'!L25</f>
        <v>2.5</v>
      </c>
      <c r="I117" s="1069">
        <f t="shared" si="1"/>
        <v>100</v>
      </c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</row>
    <row r="118" spans="1:234" s="92" customFormat="1" ht="15">
      <c r="A118" s="801"/>
      <c r="B118" s="97"/>
      <c r="C118" s="102" t="s">
        <v>346</v>
      </c>
      <c r="D118" s="102" t="s">
        <v>347</v>
      </c>
      <c r="E118" s="983"/>
      <c r="F118" s="1021">
        <v>1</v>
      </c>
      <c r="G118" s="1022">
        <f>'P9'!H22</f>
        <v>1</v>
      </c>
      <c r="H118" s="1024">
        <f>'P9'!L22</f>
        <v>4.2</v>
      </c>
      <c r="I118" s="1069">
        <f t="shared" si="1"/>
        <v>420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</row>
    <row r="119" spans="1:234" s="92" customFormat="1" ht="15">
      <c r="A119" s="801"/>
      <c r="B119" s="97"/>
      <c r="C119" s="102" t="s">
        <v>356</v>
      </c>
      <c r="D119" s="102" t="s">
        <v>400</v>
      </c>
      <c r="E119" s="983"/>
      <c r="F119" s="1021">
        <v>37</v>
      </c>
      <c r="G119" s="1022">
        <f>'P9'!H27+'P9'!H35</f>
        <v>37</v>
      </c>
      <c r="H119" s="1024">
        <f>'P9'!L27+'P9'!L35</f>
        <v>36.900000000000006</v>
      </c>
      <c r="I119" s="1069">
        <f t="shared" si="1"/>
        <v>99.72972972972974</v>
      </c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</row>
    <row r="120" spans="1:234" s="92" customFormat="1" ht="15">
      <c r="A120" s="801"/>
      <c r="B120" s="97"/>
      <c r="C120" s="102" t="s">
        <v>359</v>
      </c>
      <c r="D120" s="102" t="s">
        <v>360</v>
      </c>
      <c r="E120" s="982"/>
      <c r="F120" s="1021">
        <v>1</v>
      </c>
      <c r="G120" s="1022">
        <f>'P9'!H23</f>
        <v>1</v>
      </c>
      <c r="H120" s="1024">
        <f>'P9'!L23</f>
        <v>1.5</v>
      </c>
      <c r="I120" s="1069">
        <f t="shared" si="1"/>
        <v>150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</row>
    <row r="121" spans="1:240" s="126" customFormat="1" ht="15">
      <c r="A121" s="801"/>
      <c r="B121" s="97"/>
      <c r="C121" s="102" t="s">
        <v>366</v>
      </c>
      <c r="D121" s="102" t="s">
        <v>251</v>
      </c>
      <c r="E121" s="983"/>
      <c r="F121" s="1021">
        <v>6</v>
      </c>
      <c r="G121" s="1022">
        <f>'P9'!H21</f>
        <v>6</v>
      </c>
      <c r="H121" s="1024">
        <f>'P9'!L21</f>
        <v>4.9</v>
      </c>
      <c r="I121" s="1069">
        <f t="shared" si="1"/>
        <v>81.66666666666667</v>
      </c>
      <c r="IA121" s="92"/>
      <c r="IB121" s="92"/>
      <c r="IC121" s="92"/>
      <c r="ID121" s="92"/>
      <c r="IE121" s="92"/>
      <c r="IF121" s="92"/>
    </row>
    <row r="122" spans="1:234" s="92" customFormat="1" ht="15">
      <c r="A122" s="801"/>
      <c r="B122" s="97"/>
      <c r="C122" s="102" t="s">
        <v>369</v>
      </c>
      <c r="D122" s="102" t="s">
        <v>182</v>
      </c>
      <c r="E122" s="983"/>
      <c r="F122" s="1021">
        <v>0.4</v>
      </c>
      <c r="G122" s="1022">
        <f>'P9'!H24</f>
        <v>0.4</v>
      </c>
      <c r="H122" s="1024">
        <f>'P9'!L24</f>
        <v>0.4</v>
      </c>
      <c r="I122" s="1069">
        <f t="shared" si="1"/>
        <v>100</v>
      </c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</row>
    <row r="123" spans="1:234" s="92" customFormat="1" ht="15">
      <c r="A123" s="801"/>
      <c r="B123" s="97"/>
      <c r="C123" s="102" t="s">
        <v>371</v>
      </c>
      <c r="D123" s="102" t="s">
        <v>401</v>
      </c>
      <c r="E123" s="983"/>
      <c r="F123" s="1021">
        <v>12.5</v>
      </c>
      <c r="G123" s="1022">
        <f>'P9'!H17</f>
        <v>12.5</v>
      </c>
      <c r="H123" s="1024">
        <f>'P9'!L17</f>
        <v>8.299999999999999</v>
      </c>
      <c r="I123" s="1069">
        <f t="shared" si="1"/>
        <v>66.39999999999999</v>
      </c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</row>
    <row r="124" spans="1:234" s="92" customFormat="1" ht="15">
      <c r="A124" s="801"/>
      <c r="B124" s="97"/>
      <c r="C124" s="98">
        <v>642</v>
      </c>
      <c r="D124" s="99" t="s">
        <v>402</v>
      </c>
      <c r="E124" s="985"/>
      <c r="F124" s="1012">
        <f>SUM(F125:F128)</f>
        <v>77.69999999999999</v>
      </c>
      <c r="G124" s="950">
        <f>SUM(G125:G128)</f>
        <v>116.7</v>
      </c>
      <c r="H124" s="951">
        <f>SUM(H125:H128)</f>
        <v>115</v>
      </c>
      <c r="I124" s="1067">
        <f t="shared" si="1"/>
        <v>98.5432733504713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</row>
    <row r="125" spans="1:234" s="92" customFormat="1" ht="15">
      <c r="A125" s="801"/>
      <c r="B125" s="97"/>
      <c r="C125" s="127">
        <v>642001</v>
      </c>
      <c r="D125" s="102" t="s">
        <v>403</v>
      </c>
      <c r="E125" s="983"/>
      <c r="F125" s="1021">
        <v>0.6000000000000001</v>
      </c>
      <c r="G125" s="1022">
        <f>'P11'!I22</f>
        <v>0.6</v>
      </c>
      <c r="H125" s="1023">
        <f>'P11'!K22</f>
        <v>0.6</v>
      </c>
      <c r="I125" s="1069">
        <f t="shared" si="1"/>
        <v>100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</row>
    <row r="126" spans="1:234" s="92" customFormat="1" ht="15">
      <c r="A126" s="801"/>
      <c r="B126" s="97"/>
      <c r="C126" s="102" t="s">
        <v>404</v>
      </c>
      <c r="D126" s="102" t="s">
        <v>405</v>
      </c>
      <c r="E126" s="983"/>
      <c r="F126" s="1021">
        <v>3.3</v>
      </c>
      <c r="G126" s="1022">
        <f>'P1'!J15</f>
        <v>3.3</v>
      </c>
      <c r="H126" s="1023">
        <f>'P1'!M15</f>
        <v>3.1</v>
      </c>
      <c r="I126" s="1069">
        <f t="shared" si="1"/>
        <v>93.93939393939394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</row>
    <row r="127" spans="1:234" s="92" customFormat="1" ht="15">
      <c r="A127" s="801"/>
      <c r="B127" s="97"/>
      <c r="C127" s="107">
        <v>642001</v>
      </c>
      <c r="D127" s="102" t="s">
        <v>406</v>
      </c>
      <c r="E127" s="983"/>
      <c r="F127" s="1021">
        <v>49.8</v>
      </c>
      <c r="G127" s="1022">
        <f>'P3'!I24</f>
        <v>75.8</v>
      </c>
      <c r="H127" s="1023">
        <f>'P3'!L24</f>
        <v>74.3</v>
      </c>
      <c r="I127" s="1069">
        <f t="shared" si="1"/>
        <v>98.02110817941953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</row>
    <row r="128" spans="1:234" s="92" customFormat="1" ht="15">
      <c r="A128" s="801"/>
      <c r="B128" s="97"/>
      <c r="C128" s="102" t="s">
        <v>407</v>
      </c>
      <c r="D128" s="102" t="s">
        <v>477</v>
      </c>
      <c r="E128" s="982"/>
      <c r="F128" s="1021">
        <v>24</v>
      </c>
      <c r="G128" s="1022">
        <f>'P3'!I25</f>
        <v>37</v>
      </c>
      <c r="H128" s="1023">
        <f>'P3'!L25</f>
        <v>37</v>
      </c>
      <c r="I128" s="1069">
        <f t="shared" si="1"/>
        <v>100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</row>
    <row r="129" spans="1:234" s="92" customFormat="1" ht="15">
      <c r="A129" s="800">
        <v>9</v>
      </c>
      <c r="B129" s="93"/>
      <c r="C129" s="115"/>
      <c r="D129" s="95" t="s">
        <v>408</v>
      </c>
      <c r="E129" s="984"/>
      <c r="F129" s="1018">
        <f>F130+F135</f>
        <v>2753</v>
      </c>
      <c r="G129" s="1019">
        <f>G130+G135</f>
        <v>2844.2029999999995</v>
      </c>
      <c r="H129" s="1020">
        <f>H130+H135</f>
        <v>2892.2</v>
      </c>
      <c r="I129" s="1066">
        <f t="shared" si="1"/>
        <v>101.68753777420247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</row>
    <row r="130" spans="1:234" s="92" customFormat="1" ht="18" customHeight="1">
      <c r="A130" s="801"/>
      <c r="B130" s="97"/>
      <c r="C130" s="98"/>
      <c r="D130" s="99" t="s">
        <v>409</v>
      </c>
      <c r="E130" s="986"/>
      <c r="F130" s="1012">
        <f>SUM(F131:F134)</f>
        <v>1380</v>
      </c>
      <c r="G130" s="950">
        <f>SUM(G131:G134)</f>
        <v>1526.4029999999998</v>
      </c>
      <c r="H130" s="951">
        <f>SUM(H131:H134)</f>
        <v>1569.6000000000001</v>
      </c>
      <c r="I130" s="1067">
        <f t="shared" si="1"/>
        <v>102.82998657628426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</row>
    <row r="131" spans="1:234" s="92" customFormat="1" ht="18" customHeight="1">
      <c r="A131" s="801"/>
      <c r="B131" s="97"/>
      <c r="C131" s="102">
        <v>610</v>
      </c>
      <c r="D131" s="102" t="s">
        <v>410</v>
      </c>
      <c r="E131" s="983"/>
      <c r="F131" s="1021">
        <v>862.4</v>
      </c>
      <c r="G131" s="1022">
        <f>'P8'!F16</f>
        <v>852.1539999999999</v>
      </c>
      <c r="H131" s="1023">
        <v>906.2</v>
      </c>
      <c r="I131" s="1069">
        <f t="shared" si="1"/>
        <v>106.34228085533837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</row>
    <row r="132" spans="1:234" s="92" customFormat="1" ht="18" customHeight="1">
      <c r="A132" s="801"/>
      <c r="B132" s="97"/>
      <c r="C132" s="102">
        <v>620</v>
      </c>
      <c r="D132" s="102" t="s">
        <v>181</v>
      </c>
      <c r="E132" s="983"/>
      <c r="F132" s="1021">
        <v>303.1</v>
      </c>
      <c r="G132" s="1022">
        <f>'P8'!G16</f>
        <v>297.82399999999996</v>
      </c>
      <c r="H132" s="1023">
        <v>329.8</v>
      </c>
      <c r="I132" s="1069">
        <f t="shared" si="1"/>
        <v>110.73654238745033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</row>
    <row r="133" spans="1:234" s="92" customFormat="1" ht="18" customHeight="1">
      <c r="A133" s="801"/>
      <c r="B133" s="97"/>
      <c r="C133" s="102">
        <v>630</v>
      </c>
      <c r="D133" s="102" t="s">
        <v>269</v>
      </c>
      <c r="E133" s="983"/>
      <c r="F133" s="1021">
        <v>158.6</v>
      </c>
      <c r="G133" s="1022">
        <f>'P8'!H16</f>
        <v>314.79999999999995</v>
      </c>
      <c r="H133" s="1023">
        <v>286.2</v>
      </c>
      <c r="I133" s="1069">
        <f aca="true" t="shared" si="2" ref="I133:I181">+H133/G133*100</f>
        <v>90.91486658195682</v>
      </c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</row>
    <row r="134" spans="1:234" s="92" customFormat="1" ht="18" customHeight="1">
      <c r="A134" s="801"/>
      <c r="B134" s="97"/>
      <c r="C134" s="102">
        <v>640</v>
      </c>
      <c r="D134" s="102" t="s">
        <v>411</v>
      </c>
      <c r="E134" s="983"/>
      <c r="F134" s="1021">
        <v>55.9</v>
      </c>
      <c r="G134" s="1022">
        <f>'P8'!I16</f>
        <v>61.625</v>
      </c>
      <c r="H134" s="1023">
        <v>47.4</v>
      </c>
      <c r="I134" s="1069">
        <f t="shared" si="2"/>
        <v>76.91683569979716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</row>
    <row r="135" spans="1:234" s="92" customFormat="1" ht="15">
      <c r="A135" s="801"/>
      <c r="B135" s="97"/>
      <c r="C135" s="98"/>
      <c r="D135" s="99" t="s">
        <v>412</v>
      </c>
      <c r="E135" s="985"/>
      <c r="F135" s="1012">
        <f>SUM(F136:F139)</f>
        <v>1373.0000000000002</v>
      </c>
      <c r="G135" s="950">
        <f>SUM(G136:G139)</f>
        <v>1317.8</v>
      </c>
      <c r="H135" s="951">
        <f>SUM(H136:H139)</f>
        <v>1322.6</v>
      </c>
      <c r="I135" s="1067">
        <f t="shared" si="2"/>
        <v>100.36424343602974</v>
      </c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</row>
    <row r="136" spans="1:234" s="92" customFormat="1" ht="18" customHeight="1">
      <c r="A136" s="801"/>
      <c r="B136" s="97"/>
      <c r="C136" s="102">
        <v>610</v>
      </c>
      <c r="D136" s="102" t="s">
        <v>413</v>
      </c>
      <c r="E136" s="983"/>
      <c r="F136" s="1021">
        <v>772.7</v>
      </c>
      <c r="G136" s="1022">
        <f>'P8'!F10+'P8'!F20+'P8'!F30</f>
        <v>772.6999999999999</v>
      </c>
      <c r="H136" s="1023">
        <v>762.1</v>
      </c>
      <c r="I136" s="1069">
        <f t="shared" si="2"/>
        <v>98.62818687718391</v>
      </c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  <c r="FZ136" s="96"/>
      <c r="GA136" s="96"/>
      <c r="GB136" s="96"/>
      <c r="GC136" s="96"/>
      <c r="GD136" s="96"/>
      <c r="GE136" s="96"/>
      <c r="GF136" s="96"/>
      <c r="GG136" s="96"/>
      <c r="GH136" s="96"/>
      <c r="GI136" s="96"/>
      <c r="GJ136" s="96"/>
      <c r="GK136" s="96"/>
      <c r="GL136" s="96"/>
      <c r="GM136" s="96"/>
      <c r="GN136" s="96"/>
      <c r="GO136" s="96"/>
      <c r="GP136" s="96"/>
      <c r="GQ136" s="96"/>
      <c r="GR136" s="96"/>
      <c r="GS136" s="96"/>
      <c r="GT136" s="96"/>
      <c r="GU136" s="96"/>
      <c r="GV136" s="96"/>
      <c r="GW136" s="96"/>
      <c r="GX136" s="96"/>
      <c r="GY136" s="96"/>
      <c r="GZ136" s="96"/>
      <c r="HA136" s="96"/>
      <c r="HB136" s="96"/>
      <c r="HC136" s="96"/>
      <c r="HD136" s="96"/>
      <c r="HE136" s="96"/>
      <c r="HF136" s="96"/>
      <c r="HG136" s="96"/>
      <c r="HH136" s="96"/>
      <c r="HI136" s="96"/>
      <c r="HJ136" s="96"/>
      <c r="HK136" s="96"/>
      <c r="HL136" s="96"/>
      <c r="HM136" s="96"/>
      <c r="HN136" s="96"/>
      <c r="HO136" s="96"/>
      <c r="HP136" s="96"/>
      <c r="HQ136" s="96"/>
      <c r="HR136" s="96"/>
      <c r="HS136" s="96"/>
      <c r="HT136" s="96"/>
      <c r="HU136" s="96"/>
      <c r="HV136" s="96"/>
      <c r="HW136" s="96"/>
      <c r="HX136" s="96"/>
      <c r="HY136" s="96"/>
      <c r="HZ136" s="96"/>
    </row>
    <row r="137" spans="1:234" s="92" customFormat="1" ht="18" customHeight="1">
      <c r="A137" s="801"/>
      <c r="B137" s="97"/>
      <c r="C137" s="102">
        <v>620</v>
      </c>
      <c r="D137" s="102" t="s">
        <v>181</v>
      </c>
      <c r="E137" s="983"/>
      <c r="F137" s="1021">
        <v>271.6</v>
      </c>
      <c r="G137" s="1022">
        <f>'P8'!G10+'P8'!G20+'P8'!G30</f>
        <v>271.59999999999997</v>
      </c>
      <c r="H137" s="1023">
        <v>275</v>
      </c>
      <c r="I137" s="1069">
        <f t="shared" si="2"/>
        <v>101.25184094256261</v>
      </c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</row>
    <row r="138" spans="1:234" s="92" customFormat="1" ht="18" customHeight="1">
      <c r="A138" s="801"/>
      <c r="B138" s="97"/>
      <c r="C138" s="102">
        <v>630</v>
      </c>
      <c r="D138" s="102" t="s">
        <v>269</v>
      </c>
      <c r="E138" s="983"/>
      <c r="F138" s="1021">
        <v>313</v>
      </c>
      <c r="G138" s="1022">
        <f>'P8'!H10+'P8'!H20+'P8'!H30+'P8'!H35</f>
        <v>257.8</v>
      </c>
      <c r="H138" s="1023">
        <v>282.9</v>
      </c>
      <c r="I138" s="1069">
        <f t="shared" si="2"/>
        <v>109.73622963537623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  <c r="FZ138" s="96"/>
      <c r="GA138" s="96"/>
      <c r="GB138" s="96"/>
      <c r="GC138" s="96"/>
      <c r="GD138" s="96"/>
      <c r="GE138" s="96"/>
      <c r="GF138" s="96"/>
      <c r="GG138" s="96"/>
      <c r="GH138" s="96"/>
      <c r="GI138" s="96"/>
      <c r="GJ138" s="96"/>
      <c r="GK138" s="96"/>
      <c r="GL138" s="96"/>
      <c r="GM138" s="96"/>
      <c r="GN138" s="96"/>
      <c r="GO138" s="96"/>
      <c r="GP138" s="96"/>
      <c r="GQ138" s="96"/>
      <c r="GR138" s="96"/>
      <c r="GS138" s="96"/>
      <c r="GT138" s="96"/>
      <c r="GU138" s="96"/>
      <c r="GV138" s="96"/>
      <c r="GW138" s="96"/>
      <c r="GX138" s="96"/>
      <c r="GY138" s="96"/>
      <c r="GZ138" s="96"/>
      <c r="HA138" s="96"/>
      <c r="HB138" s="96"/>
      <c r="HC138" s="96"/>
      <c r="HD138" s="96"/>
      <c r="HE138" s="96"/>
      <c r="HF138" s="96"/>
      <c r="HG138" s="96"/>
      <c r="HH138" s="96"/>
      <c r="HI138" s="96"/>
      <c r="HJ138" s="96"/>
      <c r="HK138" s="96"/>
      <c r="HL138" s="96"/>
      <c r="HM138" s="96"/>
      <c r="HN138" s="96"/>
      <c r="HO138" s="96"/>
      <c r="HP138" s="96"/>
      <c r="HQ138" s="96"/>
      <c r="HR138" s="96"/>
      <c r="HS138" s="96"/>
      <c r="HT138" s="96"/>
      <c r="HU138" s="96"/>
      <c r="HV138" s="96"/>
      <c r="HW138" s="96"/>
      <c r="HX138" s="96"/>
      <c r="HY138" s="96"/>
      <c r="HZ138" s="96"/>
    </row>
    <row r="139" spans="1:234" s="92" customFormat="1" ht="18" customHeight="1">
      <c r="A139" s="801"/>
      <c r="B139" s="97"/>
      <c r="C139" s="102">
        <v>640</v>
      </c>
      <c r="D139" s="102" t="s">
        <v>411</v>
      </c>
      <c r="E139" s="983"/>
      <c r="F139" s="1013">
        <v>15.7</v>
      </c>
      <c r="G139" s="952">
        <f>'P8'!I10+'P8'!I20</f>
        <v>15.7</v>
      </c>
      <c r="H139" s="953">
        <v>2.6</v>
      </c>
      <c r="I139" s="1068">
        <f t="shared" si="2"/>
        <v>16.56050955414013</v>
      </c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</row>
    <row r="140" spans="1:234" s="92" customFormat="1" ht="18" customHeight="1">
      <c r="A140" s="801"/>
      <c r="B140" s="970" t="s">
        <v>581</v>
      </c>
      <c r="C140" s="104"/>
      <c r="D140" s="99" t="s">
        <v>281</v>
      </c>
      <c r="E140" s="964"/>
      <c r="F140" s="1012">
        <f>SUM(F141:F143)</f>
        <v>14.299999999999999</v>
      </c>
      <c r="G140" s="950">
        <f>SUM(G141:G143)</f>
        <v>14.299999999999999</v>
      </c>
      <c r="H140" s="951">
        <f>SUM(H141:H143)</f>
        <v>13.7</v>
      </c>
      <c r="I140" s="1067">
        <f t="shared" si="2"/>
        <v>95.8041958041958</v>
      </c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  <c r="FZ140" s="96"/>
      <c r="GA140" s="96"/>
      <c r="GB140" s="96"/>
      <c r="GC140" s="96"/>
      <c r="GD140" s="96"/>
      <c r="GE140" s="96"/>
      <c r="GF140" s="96"/>
      <c r="GG140" s="96"/>
      <c r="GH140" s="96"/>
      <c r="GI140" s="96"/>
      <c r="GJ140" s="96"/>
      <c r="GK140" s="96"/>
      <c r="GL140" s="96"/>
      <c r="GM140" s="96"/>
      <c r="GN140" s="96"/>
      <c r="GO140" s="96"/>
      <c r="GP140" s="96"/>
      <c r="GQ140" s="96"/>
      <c r="GR140" s="96"/>
      <c r="GS140" s="96"/>
      <c r="GT140" s="96"/>
      <c r="GU140" s="96"/>
      <c r="GV140" s="96"/>
      <c r="GW140" s="96"/>
      <c r="GX140" s="96"/>
      <c r="GY140" s="96"/>
      <c r="GZ140" s="96"/>
      <c r="HA140" s="96"/>
      <c r="HB140" s="96"/>
      <c r="HC140" s="96"/>
      <c r="HD140" s="96"/>
      <c r="HE140" s="96"/>
      <c r="HF140" s="96"/>
      <c r="HG140" s="96"/>
      <c r="HH140" s="96"/>
      <c r="HI140" s="96"/>
      <c r="HJ140" s="96"/>
      <c r="HK140" s="96"/>
      <c r="HL140" s="96"/>
      <c r="HM140" s="96"/>
      <c r="HN140" s="96"/>
      <c r="HO140" s="96"/>
      <c r="HP140" s="96"/>
      <c r="HQ140" s="96"/>
      <c r="HR140" s="96"/>
      <c r="HS140" s="96"/>
      <c r="HT140" s="96"/>
      <c r="HU140" s="96"/>
      <c r="HV140" s="96"/>
      <c r="HW140" s="96"/>
      <c r="HX140" s="96"/>
      <c r="HY140" s="96"/>
      <c r="HZ140" s="96"/>
    </row>
    <row r="141" spans="1:234" s="92" customFormat="1" ht="18" customHeight="1">
      <c r="A141" s="801"/>
      <c r="B141" s="97"/>
      <c r="C141" s="102">
        <v>610</v>
      </c>
      <c r="D141" s="102" t="s">
        <v>414</v>
      </c>
      <c r="E141" s="982"/>
      <c r="F141" s="1021">
        <v>10.5</v>
      </c>
      <c r="G141" s="1022">
        <f>'P8'!F39</f>
        <v>10.5</v>
      </c>
      <c r="H141" s="1023">
        <f>'P8'!K39</f>
        <v>10.1</v>
      </c>
      <c r="I141" s="1069">
        <f t="shared" si="2"/>
        <v>96.19047619047618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</row>
    <row r="142" spans="1:234" s="92" customFormat="1" ht="18" customHeight="1">
      <c r="A142" s="801"/>
      <c r="B142" s="97"/>
      <c r="C142" s="102">
        <v>620</v>
      </c>
      <c r="D142" s="102" t="s">
        <v>181</v>
      </c>
      <c r="E142" s="982"/>
      <c r="F142" s="1021">
        <v>3.6</v>
      </c>
      <c r="G142" s="1022">
        <f>'P8'!G40</f>
        <v>3.6</v>
      </c>
      <c r="H142" s="1023">
        <f>'P8'!K40</f>
        <v>3.5</v>
      </c>
      <c r="I142" s="1069">
        <f t="shared" si="2"/>
        <v>97.22222222222221</v>
      </c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</row>
    <row r="143" spans="1:234" s="92" customFormat="1" ht="18" customHeight="1">
      <c r="A143" s="803"/>
      <c r="B143" s="97"/>
      <c r="C143" s="107" t="s">
        <v>369</v>
      </c>
      <c r="D143" s="102" t="s">
        <v>182</v>
      </c>
      <c r="E143" s="982"/>
      <c r="F143" s="1021">
        <v>0.2</v>
      </c>
      <c r="G143" s="1022">
        <f>'P8'!H41</f>
        <v>0.2</v>
      </c>
      <c r="H143" s="1023">
        <f>'P8'!K41</f>
        <v>0.1</v>
      </c>
      <c r="I143" s="1069">
        <f t="shared" si="2"/>
        <v>50</v>
      </c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</row>
    <row r="144" spans="1:234" s="92" customFormat="1" ht="18" customHeight="1">
      <c r="A144" s="800">
        <v>10</v>
      </c>
      <c r="B144" s="93"/>
      <c r="C144" s="115"/>
      <c r="D144" s="95" t="s">
        <v>415</v>
      </c>
      <c r="E144" s="984"/>
      <c r="F144" s="1018">
        <f>SUM(F145:F156)</f>
        <v>215.10000000000002</v>
      </c>
      <c r="G144" s="1019">
        <f>SUM(G145:G156)</f>
        <v>261.6</v>
      </c>
      <c r="H144" s="1020">
        <f>SUM(H145:H156)</f>
        <v>272.7</v>
      </c>
      <c r="I144" s="1066">
        <f t="shared" si="2"/>
        <v>104.24311926605503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</row>
    <row r="145" spans="1:234" s="92" customFormat="1" ht="18" customHeight="1">
      <c r="A145" s="801"/>
      <c r="B145" s="97"/>
      <c r="C145" s="102">
        <v>610</v>
      </c>
      <c r="D145" s="102" t="s">
        <v>410</v>
      </c>
      <c r="E145" s="983"/>
      <c r="F145" s="1021">
        <v>69.9</v>
      </c>
      <c r="G145" s="1022">
        <f>'P11'!F25</f>
        <v>69.9</v>
      </c>
      <c r="H145" s="1023">
        <f>'P11'!K25</f>
        <v>72.2</v>
      </c>
      <c r="I145" s="1069">
        <f t="shared" si="2"/>
        <v>103.2904148783977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</row>
    <row r="146" spans="1:234" s="92" customFormat="1" ht="18" customHeight="1">
      <c r="A146" s="801"/>
      <c r="B146" s="97" t="s">
        <v>416</v>
      </c>
      <c r="C146" s="102">
        <v>620</v>
      </c>
      <c r="D146" s="102" t="s">
        <v>181</v>
      </c>
      <c r="E146" s="983"/>
      <c r="F146" s="1021">
        <v>24.4</v>
      </c>
      <c r="G146" s="1022">
        <f>'P11'!G26</f>
        <v>24.4</v>
      </c>
      <c r="H146" s="1023">
        <f>'P11'!K26</f>
        <v>25.2</v>
      </c>
      <c r="I146" s="1069">
        <f t="shared" si="2"/>
        <v>103.27868852459017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</row>
    <row r="147" spans="1:234" s="92" customFormat="1" ht="18" customHeight="1">
      <c r="A147" s="801"/>
      <c r="B147" s="97"/>
      <c r="C147" s="112">
        <v>637001</v>
      </c>
      <c r="D147" s="102" t="s">
        <v>538</v>
      </c>
      <c r="E147" s="983"/>
      <c r="F147" s="1021"/>
      <c r="G147" s="1022">
        <f>'P11'!H29</f>
        <v>3.3</v>
      </c>
      <c r="H147" s="1023">
        <f>'P11'!K29</f>
        <v>3.4</v>
      </c>
      <c r="I147" s="1069">
        <f t="shared" si="2"/>
        <v>103.03030303030303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</row>
    <row r="148" spans="1:234" s="92" customFormat="1" ht="18" customHeight="1">
      <c r="A148" s="801"/>
      <c r="B148" s="97"/>
      <c r="C148" s="112">
        <v>637004</v>
      </c>
      <c r="D148" s="102" t="s">
        <v>360</v>
      </c>
      <c r="E148" s="983"/>
      <c r="F148" s="1021"/>
      <c r="G148" s="1022">
        <v>1</v>
      </c>
      <c r="H148" s="1024">
        <f>+'P11'!K30</f>
        <v>0.4</v>
      </c>
      <c r="I148" s="1069">
        <f t="shared" si="2"/>
        <v>40</v>
      </c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</row>
    <row r="149" spans="1:234" s="92" customFormat="1" ht="18" customHeight="1">
      <c r="A149" s="801"/>
      <c r="B149" s="97"/>
      <c r="C149" s="102" t="s">
        <v>367</v>
      </c>
      <c r="D149" s="102" t="s">
        <v>417</v>
      </c>
      <c r="E149" s="983"/>
      <c r="F149" s="1021">
        <v>6</v>
      </c>
      <c r="G149" s="1022">
        <f>'P11'!H14</f>
        <v>6</v>
      </c>
      <c r="H149" s="1023">
        <f>'P11'!K14</f>
        <v>6.1</v>
      </c>
      <c r="I149" s="1069">
        <f t="shared" si="2"/>
        <v>101.66666666666666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</row>
    <row r="150" spans="1:234" s="92" customFormat="1" ht="18" customHeight="1">
      <c r="A150" s="801"/>
      <c r="B150" s="97"/>
      <c r="C150" s="102" t="s">
        <v>367</v>
      </c>
      <c r="D150" s="102" t="s">
        <v>418</v>
      </c>
      <c r="E150" s="983"/>
      <c r="F150" s="1021">
        <v>8</v>
      </c>
      <c r="G150" s="1022">
        <f>'P11'!H31</f>
        <v>8</v>
      </c>
      <c r="H150" s="1023">
        <f>'P11'!K31</f>
        <v>7.4</v>
      </c>
      <c r="I150" s="1069">
        <f t="shared" si="2"/>
        <v>92.5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</row>
    <row r="151" spans="1:234" s="92" customFormat="1" ht="18" customHeight="1">
      <c r="A151" s="801"/>
      <c r="B151" s="97"/>
      <c r="C151" s="102" t="s">
        <v>367</v>
      </c>
      <c r="D151" s="102" t="s">
        <v>493</v>
      </c>
      <c r="E151" s="983"/>
      <c r="F151" s="1021">
        <v>1.8</v>
      </c>
      <c r="G151" s="1022">
        <f>'P11'!H36</f>
        <v>2</v>
      </c>
      <c r="H151" s="1023">
        <f>'P11'!K36</f>
        <v>2.8</v>
      </c>
      <c r="I151" s="1069">
        <f t="shared" si="2"/>
        <v>140</v>
      </c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</row>
    <row r="152" spans="1:234" s="92" customFormat="1" ht="18" customHeight="1">
      <c r="A152" s="801"/>
      <c r="B152" s="97"/>
      <c r="C152" s="102" t="s">
        <v>374</v>
      </c>
      <c r="D152" s="102" t="s">
        <v>419</v>
      </c>
      <c r="E152" s="983"/>
      <c r="F152" s="1021">
        <v>0.30000000000000004</v>
      </c>
      <c r="G152" s="1022">
        <f>'P11'!H27</f>
        <v>0.3</v>
      </c>
      <c r="H152" s="1023">
        <f>'P11'!K27</f>
        <v>0.2</v>
      </c>
      <c r="I152" s="1069">
        <f t="shared" si="2"/>
        <v>66.66666666666667</v>
      </c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</row>
    <row r="153" spans="1:234" s="92" customFormat="1" ht="18" customHeight="1">
      <c r="A153" s="801"/>
      <c r="B153" s="97"/>
      <c r="C153" s="102" t="s">
        <v>369</v>
      </c>
      <c r="D153" s="102" t="s">
        <v>182</v>
      </c>
      <c r="E153" s="983"/>
      <c r="F153" s="1021">
        <v>0.7</v>
      </c>
      <c r="G153" s="1022">
        <f>'P11'!H28</f>
        <v>0.7</v>
      </c>
      <c r="H153" s="1023">
        <f>'P11'!K28</f>
        <v>0.8</v>
      </c>
      <c r="I153" s="1069">
        <f t="shared" si="2"/>
        <v>114.2857142857143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</row>
    <row r="154" spans="1:234" s="92" customFormat="1" ht="18" customHeight="1">
      <c r="A154" s="801"/>
      <c r="B154" s="97"/>
      <c r="C154" s="102" t="s">
        <v>420</v>
      </c>
      <c r="D154" s="102" t="s">
        <v>421</v>
      </c>
      <c r="E154" s="983"/>
      <c r="F154" s="1021">
        <v>5</v>
      </c>
      <c r="G154" s="1022">
        <f>'P11'!I13</f>
        <v>5</v>
      </c>
      <c r="H154" s="1024">
        <f>'P11'!K13</f>
        <v>1.5</v>
      </c>
      <c r="I154" s="1069">
        <f t="shared" si="2"/>
        <v>30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</row>
    <row r="155" spans="1:234" s="92" customFormat="1" ht="18" customHeight="1">
      <c r="A155" s="801"/>
      <c r="B155" s="97"/>
      <c r="C155" s="102" t="s">
        <v>420</v>
      </c>
      <c r="D155" s="102" t="s">
        <v>422</v>
      </c>
      <c r="E155" s="982"/>
      <c r="F155" s="1021">
        <v>1</v>
      </c>
      <c r="G155" s="1022">
        <f>'P11'!I34</f>
        <v>1</v>
      </c>
      <c r="H155" s="1023">
        <f>'P11'!K34</f>
        <v>1</v>
      </c>
      <c r="I155" s="1069">
        <f t="shared" si="2"/>
        <v>100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</row>
    <row r="156" spans="1:234" s="92" customFormat="1" ht="18" customHeight="1">
      <c r="A156" s="801"/>
      <c r="B156" s="97"/>
      <c r="C156" s="128">
        <v>642026</v>
      </c>
      <c r="D156" s="103" t="s">
        <v>494</v>
      </c>
      <c r="E156" s="976"/>
      <c r="F156" s="1013">
        <v>98</v>
      </c>
      <c r="G156" s="952">
        <f>'P11'!I15</f>
        <v>140</v>
      </c>
      <c r="H156" s="1034">
        <f>'P11'!K15</f>
        <v>151.7</v>
      </c>
      <c r="I156" s="1068">
        <f t="shared" si="2"/>
        <v>108.35714285714285</v>
      </c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</row>
    <row r="157" spans="1:234" s="92" customFormat="1" ht="18" customHeight="1">
      <c r="A157" s="801"/>
      <c r="B157" s="97"/>
      <c r="C157" s="104"/>
      <c r="D157" s="99" t="s">
        <v>478</v>
      </c>
      <c r="E157" s="964"/>
      <c r="F157" s="1035">
        <f>SUM(F158:F160)</f>
        <v>16.7</v>
      </c>
      <c r="G157" s="1036">
        <f>SUM(G158:G160)</f>
        <v>18</v>
      </c>
      <c r="H157" s="1037">
        <f>SUM(H158:H160)</f>
        <v>14.899999999999999</v>
      </c>
      <c r="I157" s="1074">
        <f t="shared" si="2"/>
        <v>82.77777777777777</v>
      </c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</row>
    <row r="158" spans="1:234" s="92" customFormat="1" ht="18" customHeight="1">
      <c r="A158" s="801"/>
      <c r="B158" s="970" t="s">
        <v>580</v>
      </c>
      <c r="C158" s="102">
        <v>610</v>
      </c>
      <c r="D158" s="102" t="s">
        <v>423</v>
      </c>
      <c r="E158" s="982"/>
      <c r="F158" s="1021">
        <v>12.4</v>
      </c>
      <c r="G158" s="1022">
        <f>'P11'!F18</f>
        <v>12.4</v>
      </c>
      <c r="H158" s="1023">
        <f>'P11'!K18</f>
        <v>10.7</v>
      </c>
      <c r="I158" s="1069">
        <f t="shared" si="2"/>
        <v>86.29032258064515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</row>
    <row r="159" spans="1:234" s="92" customFormat="1" ht="18" customHeight="1">
      <c r="A159" s="801"/>
      <c r="B159" s="97"/>
      <c r="C159" s="102">
        <v>620</v>
      </c>
      <c r="D159" s="102" t="s">
        <v>181</v>
      </c>
      <c r="E159" s="982"/>
      <c r="F159" s="1021">
        <v>4.3</v>
      </c>
      <c r="G159" s="1022">
        <f>'P11'!G19</f>
        <v>4.3</v>
      </c>
      <c r="H159" s="1023">
        <f>'P11'!K19</f>
        <v>3.7</v>
      </c>
      <c r="I159" s="1069">
        <f t="shared" si="2"/>
        <v>86.04651162790698</v>
      </c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</row>
    <row r="160" spans="1:234" s="92" customFormat="1" ht="18" customHeight="1">
      <c r="A160" s="801"/>
      <c r="B160" s="97"/>
      <c r="C160" s="102">
        <v>630</v>
      </c>
      <c r="D160" s="102" t="s">
        <v>309</v>
      </c>
      <c r="E160" s="982"/>
      <c r="F160" s="1021"/>
      <c r="G160" s="1022">
        <f>'P11'!H20</f>
        <v>1.3</v>
      </c>
      <c r="H160" s="1023">
        <f>'P11'!K20</f>
        <v>0.5</v>
      </c>
      <c r="I160" s="1069">
        <f t="shared" si="2"/>
        <v>38.46153846153846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</row>
    <row r="161" spans="1:234" s="92" customFormat="1" ht="18" customHeight="1">
      <c r="A161" s="808"/>
      <c r="B161" s="129"/>
      <c r="C161" s="130"/>
      <c r="D161" s="131" t="s">
        <v>424</v>
      </c>
      <c r="E161" s="987"/>
      <c r="F161" s="1038">
        <f>F61+F65+F68+F72+F78+F86+F85+F91+F93+F99+F106+F108+F124+F129+F144+F2+F157+F140</f>
        <v>5636.400000000001</v>
      </c>
      <c r="G161" s="1039">
        <f>G61+G65+G68+G72+G78+G86+G85+G91+G93+G99+G106+G108+G124+G129+G144+G2+G157+G140</f>
        <v>5773.003</v>
      </c>
      <c r="H161" s="1040">
        <f>H61+H65+H68+H72+H78+H86+H85+H91+H93+H99+H106+H108+H124+H129+H144+H2+H157+H140</f>
        <v>5787.8</v>
      </c>
      <c r="I161" s="1075">
        <f t="shared" si="2"/>
        <v>100.25631374173894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</row>
    <row r="162" spans="1:234" s="92" customFormat="1" ht="18" customHeight="1">
      <c r="A162" s="800"/>
      <c r="B162" s="132"/>
      <c r="C162" s="115"/>
      <c r="D162" s="95" t="s">
        <v>29</v>
      </c>
      <c r="E162" s="984"/>
      <c r="F162" s="1018">
        <f>SUM(F165:F167)</f>
        <v>5520.299999999999</v>
      </c>
      <c r="G162" s="1019">
        <f>SUM(G163:G167)</f>
        <v>3080.3769999999995</v>
      </c>
      <c r="H162" s="1020">
        <f>SUM(H163:H167)</f>
        <v>2842.2</v>
      </c>
      <c r="I162" s="1066">
        <f t="shared" si="2"/>
        <v>92.26792694530573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</row>
    <row r="163" spans="1:234" s="92" customFormat="1" ht="18" customHeight="1">
      <c r="A163" s="809"/>
      <c r="B163" s="142"/>
      <c r="C163" s="143">
        <v>713004</v>
      </c>
      <c r="D163" s="144" t="s">
        <v>556</v>
      </c>
      <c r="E163" s="988"/>
      <c r="F163" s="1041"/>
      <c r="G163" s="1042">
        <f>+'P8'!N19</f>
        <v>2.677</v>
      </c>
      <c r="H163" s="1043">
        <f>+'P8'!S19</f>
        <v>2.7</v>
      </c>
      <c r="I163" s="1076">
        <f t="shared" si="2"/>
        <v>100.85917071348524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</row>
    <row r="164" spans="1:234" s="92" customFormat="1" ht="18" customHeight="1">
      <c r="A164" s="809"/>
      <c r="B164" s="142"/>
      <c r="C164" s="143">
        <v>714001</v>
      </c>
      <c r="D164" s="144" t="s">
        <v>564</v>
      </c>
      <c r="E164" s="988"/>
      <c r="F164" s="1041"/>
      <c r="G164" s="1042"/>
      <c r="H164" s="1043">
        <f>+'P3'!T19</f>
        <v>423.2</v>
      </c>
      <c r="I164" s="1076">
        <v>0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</row>
    <row r="165" spans="1:234" s="92" customFormat="1" ht="18" customHeight="1">
      <c r="A165" s="801"/>
      <c r="B165" s="97"/>
      <c r="C165" s="102">
        <v>716</v>
      </c>
      <c r="D165" s="102" t="s">
        <v>425</v>
      </c>
      <c r="E165" s="982"/>
      <c r="F165" s="1021">
        <v>100.7</v>
      </c>
      <c r="G165" s="1022">
        <f>'P1'!Q21</f>
        <v>81</v>
      </c>
      <c r="H165" s="1024">
        <f>'P1'!T21</f>
        <v>46.1</v>
      </c>
      <c r="I165" s="1069">
        <f t="shared" si="2"/>
        <v>56.91358024691359</v>
      </c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  <c r="FZ165" s="96"/>
      <c r="GA165" s="96"/>
      <c r="GB165" s="96"/>
      <c r="GC165" s="96"/>
      <c r="GD165" s="96"/>
      <c r="GE165" s="96"/>
      <c r="GF165" s="96"/>
      <c r="GG165" s="96"/>
      <c r="GH165" s="96"/>
      <c r="GI165" s="96"/>
      <c r="GJ165" s="96"/>
      <c r="GK165" s="96"/>
      <c r="GL165" s="96"/>
      <c r="GM165" s="96"/>
      <c r="GN165" s="96"/>
      <c r="GO165" s="96"/>
      <c r="GP165" s="96"/>
      <c r="GQ165" s="96"/>
      <c r="GR165" s="96"/>
      <c r="GS165" s="96"/>
      <c r="GT165" s="96"/>
      <c r="GU165" s="96"/>
      <c r="GV165" s="96"/>
      <c r="GW165" s="96"/>
      <c r="GX165" s="96"/>
      <c r="GY165" s="96"/>
      <c r="GZ165" s="96"/>
      <c r="HA165" s="96"/>
      <c r="HB165" s="96"/>
      <c r="HC165" s="96"/>
      <c r="HD165" s="96"/>
      <c r="HE165" s="96"/>
      <c r="HF165" s="96"/>
      <c r="HG165" s="96"/>
      <c r="HH165" s="96"/>
      <c r="HI165" s="96"/>
      <c r="HJ165" s="96"/>
      <c r="HK165" s="96"/>
      <c r="HL165" s="96"/>
      <c r="HM165" s="96"/>
      <c r="HN165" s="96"/>
      <c r="HO165" s="96"/>
      <c r="HP165" s="96"/>
      <c r="HQ165" s="96"/>
      <c r="HR165" s="96"/>
      <c r="HS165" s="96"/>
      <c r="HT165" s="96"/>
      <c r="HU165" s="96"/>
      <c r="HV165" s="96"/>
      <c r="HW165" s="96"/>
      <c r="HX165" s="96"/>
      <c r="HY165" s="96"/>
      <c r="HZ165" s="96"/>
    </row>
    <row r="166" spans="1:9" ht="18" customHeight="1">
      <c r="A166" s="801"/>
      <c r="B166" s="97"/>
      <c r="C166" s="107" t="s">
        <v>426</v>
      </c>
      <c r="D166" s="102" t="s">
        <v>427</v>
      </c>
      <c r="E166" s="982"/>
      <c r="F166" s="1021">
        <v>2748.9</v>
      </c>
      <c r="G166" s="1022">
        <f>'P9'!Q13+'P10'!P13+'P10'!P19+'P10'!P17+'P7'!Q14+'P10'!P18</f>
        <v>1293.5</v>
      </c>
      <c r="H166" s="1024">
        <f>'P9'!R13+'P10'!R13+'P10'!R19+'P10'!R17+'P7'!S11+'P10'!R18</f>
        <v>1031.1999999999998</v>
      </c>
      <c r="I166" s="1069">
        <f t="shared" si="2"/>
        <v>79.72168534982605</v>
      </c>
    </row>
    <row r="167" spans="1:9" ht="18" customHeight="1">
      <c r="A167" s="801"/>
      <c r="B167" s="97"/>
      <c r="C167" s="102" t="s">
        <v>428</v>
      </c>
      <c r="D167" s="102" t="s">
        <v>495</v>
      </c>
      <c r="E167" s="983"/>
      <c r="F167" s="1021">
        <v>2670.7</v>
      </c>
      <c r="G167" s="1022">
        <f>'P10'!P16+'P8'!N17+'P8'!Q17+'P8'!Q18</f>
        <v>1703.1999999999998</v>
      </c>
      <c r="H167" s="1024">
        <f>+'P8'!S17+'P8'!S18</f>
        <v>1339</v>
      </c>
      <c r="I167" s="1069">
        <f t="shared" si="2"/>
        <v>78.61672146547676</v>
      </c>
    </row>
    <row r="168" spans="1:9" ht="18" customHeight="1">
      <c r="A168" s="810">
        <v>800</v>
      </c>
      <c r="B168" s="93"/>
      <c r="C168" s="115"/>
      <c r="D168" s="95" t="s">
        <v>247</v>
      </c>
      <c r="E168" s="989"/>
      <c r="F168" s="1044">
        <f>F169+F179</f>
        <v>298.20000000000005</v>
      </c>
      <c r="G168" s="1045">
        <f>G169+G179</f>
        <v>251.79999999999998</v>
      </c>
      <c r="H168" s="1046">
        <f>H169+H179</f>
        <v>255.59999999999997</v>
      </c>
      <c r="I168" s="1077">
        <f t="shared" si="2"/>
        <v>101.50913423351867</v>
      </c>
    </row>
    <row r="169" spans="1:234" s="136" customFormat="1" ht="18" customHeight="1">
      <c r="A169" s="801"/>
      <c r="B169" s="97"/>
      <c r="C169" s="100" t="s">
        <v>429</v>
      </c>
      <c r="D169" s="100" t="s">
        <v>430</v>
      </c>
      <c r="E169" s="990"/>
      <c r="F169" s="1025">
        <f>SUM(F170:F178)</f>
        <v>266.6</v>
      </c>
      <c r="G169" s="1026">
        <f>SUM(G170:G178)</f>
        <v>220.2</v>
      </c>
      <c r="H169" s="1027">
        <f>SUM(H170:H178)</f>
        <v>222.59999999999997</v>
      </c>
      <c r="I169" s="1070">
        <f t="shared" si="2"/>
        <v>101.08991825613079</v>
      </c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5"/>
      <c r="DF169" s="135"/>
      <c r="DG169" s="135"/>
      <c r="DH169" s="135"/>
      <c r="DI169" s="135"/>
      <c r="DJ169" s="135"/>
      <c r="DK169" s="135"/>
      <c r="DL169" s="135"/>
      <c r="DM169" s="135"/>
      <c r="DN169" s="135"/>
      <c r="DO169" s="135"/>
      <c r="DP169" s="135"/>
      <c r="DQ169" s="135"/>
      <c r="DR169" s="135"/>
      <c r="DS169" s="135"/>
      <c r="DT169" s="135"/>
      <c r="DU169" s="135"/>
      <c r="DV169" s="135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5"/>
      <c r="EM169" s="135"/>
      <c r="EN169" s="135"/>
      <c r="EO169" s="135"/>
      <c r="EP169" s="135"/>
      <c r="EQ169" s="135"/>
      <c r="ER169" s="135"/>
      <c r="ES169" s="135"/>
      <c r="ET169" s="135"/>
      <c r="EU169" s="135"/>
      <c r="EV169" s="135"/>
      <c r="EW169" s="135"/>
      <c r="EX169" s="135"/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  <c r="FS169" s="135"/>
      <c r="FT169" s="135"/>
      <c r="FU169" s="135"/>
      <c r="FV169" s="135"/>
      <c r="FW169" s="135"/>
      <c r="FX169" s="135"/>
      <c r="FY169" s="135"/>
      <c r="FZ169" s="135"/>
      <c r="GA169" s="135"/>
      <c r="GB169" s="135"/>
      <c r="GC169" s="135"/>
      <c r="GD169" s="135"/>
      <c r="GE169" s="135"/>
      <c r="GF169" s="135"/>
      <c r="GG169" s="135"/>
      <c r="GH169" s="135"/>
      <c r="GI169" s="135"/>
      <c r="GJ169" s="135"/>
      <c r="GK169" s="135"/>
      <c r="GL169" s="135"/>
      <c r="GM169" s="135"/>
      <c r="GN169" s="135"/>
      <c r="GO169" s="135"/>
      <c r="GP169" s="135"/>
      <c r="GQ169" s="135"/>
      <c r="GR169" s="135"/>
      <c r="GS169" s="135"/>
      <c r="GT169" s="135"/>
      <c r="GU169" s="135"/>
      <c r="GV169" s="135"/>
      <c r="GW169" s="135"/>
      <c r="GX169" s="135"/>
      <c r="GY169" s="135"/>
      <c r="GZ169" s="135"/>
      <c r="HA169" s="135"/>
      <c r="HB169" s="135"/>
      <c r="HC169" s="135"/>
      <c r="HD169" s="135"/>
      <c r="HE169" s="135"/>
      <c r="HF169" s="135"/>
      <c r="HG169" s="135"/>
      <c r="HH169" s="135"/>
      <c r="HI169" s="135"/>
      <c r="HJ169" s="135"/>
      <c r="HK169" s="135"/>
      <c r="HL169" s="135"/>
      <c r="HM169" s="135"/>
      <c r="HN169" s="135"/>
      <c r="HO169" s="135"/>
      <c r="HP169" s="135"/>
      <c r="HQ169" s="135"/>
      <c r="HR169" s="135"/>
      <c r="HS169" s="135"/>
      <c r="HT169" s="135"/>
      <c r="HU169" s="135"/>
      <c r="HV169" s="135"/>
      <c r="HW169" s="135"/>
      <c r="HX169" s="135"/>
      <c r="HY169" s="135"/>
      <c r="HZ169" s="135"/>
    </row>
    <row r="170" spans="1:9" ht="18" customHeight="1">
      <c r="A170" s="801"/>
      <c r="B170" s="97"/>
      <c r="C170" s="102"/>
      <c r="D170" s="102" t="s">
        <v>431</v>
      </c>
      <c r="E170" s="982"/>
      <c r="F170" s="1021">
        <v>82.9</v>
      </c>
      <c r="G170" s="1022">
        <v>55.3</v>
      </c>
      <c r="H170" s="1023">
        <v>55.3</v>
      </c>
      <c r="I170" s="1069">
        <f t="shared" si="2"/>
        <v>100</v>
      </c>
    </row>
    <row r="171" spans="1:9" ht="18" customHeight="1">
      <c r="A171" s="801"/>
      <c r="B171" s="97"/>
      <c r="C171" s="102"/>
      <c r="D171" s="107" t="s">
        <v>432</v>
      </c>
      <c r="E171" s="982"/>
      <c r="F171" s="1021">
        <v>37.7</v>
      </c>
      <c r="G171" s="1022">
        <v>47.8</v>
      </c>
      <c r="H171" s="1023">
        <v>47.8</v>
      </c>
      <c r="I171" s="1069">
        <f t="shared" si="2"/>
        <v>100</v>
      </c>
    </row>
    <row r="172" spans="1:9" ht="18" customHeight="1">
      <c r="A172" s="801"/>
      <c r="B172" s="97"/>
      <c r="C172" s="102"/>
      <c r="D172" s="137" t="s">
        <v>433</v>
      </c>
      <c r="E172" s="982"/>
      <c r="F172" s="1021">
        <v>13.4</v>
      </c>
      <c r="G172" s="1022">
        <v>13.4</v>
      </c>
      <c r="H172" s="1023">
        <v>13.7</v>
      </c>
      <c r="I172" s="1069">
        <f t="shared" si="2"/>
        <v>102.23880597014924</v>
      </c>
    </row>
    <row r="173" spans="1:9" ht="18" customHeight="1">
      <c r="A173" s="801"/>
      <c r="B173" s="97"/>
      <c r="C173" s="102"/>
      <c r="D173" s="107" t="s">
        <v>434</v>
      </c>
      <c r="E173" s="982"/>
      <c r="F173" s="1021">
        <v>14.3</v>
      </c>
      <c r="G173" s="1022">
        <v>14.3</v>
      </c>
      <c r="H173" s="1023">
        <v>14.3</v>
      </c>
      <c r="I173" s="1069">
        <f t="shared" si="2"/>
        <v>100</v>
      </c>
    </row>
    <row r="174" spans="1:9" ht="18" customHeight="1">
      <c r="A174" s="801"/>
      <c r="B174" s="97"/>
      <c r="C174" s="102"/>
      <c r="D174" s="107" t="s">
        <v>435</v>
      </c>
      <c r="E174" s="982"/>
      <c r="F174" s="1021">
        <v>12.6</v>
      </c>
      <c r="G174" s="1022">
        <v>9.6</v>
      </c>
      <c r="H174" s="1023">
        <v>10.2</v>
      </c>
      <c r="I174" s="1069">
        <f t="shared" si="2"/>
        <v>106.25</v>
      </c>
    </row>
    <row r="175" spans="1:9" ht="18" customHeight="1">
      <c r="A175" s="801"/>
      <c r="B175" s="97"/>
      <c r="C175" s="102"/>
      <c r="D175" s="107" t="s">
        <v>436</v>
      </c>
      <c r="E175" s="982"/>
      <c r="F175" s="1021">
        <v>71.7</v>
      </c>
      <c r="G175" s="1022">
        <v>47.8</v>
      </c>
      <c r="H175" s="1023">
        <v>47.8</v>
      </c>
      <c r="I175" s="1069">
        <f t="shared" si="2"/>
        <v>100</v>
      </c>
    </row>
    <row r="176" spans="1:9" ht="18" customHeight="1">
      <c r="A176" s="801"/>
      <c r="B176" s="97"/>
      <c r="C176" s="102"/>
      <c r="D176" s="138" t="s">
        <v>529</v>
      </c>
      <c r="E176" s="982"/>
      <c r="F176" s="1021">
        <v>10.6</v>
      </c>
      <c r="G176" s="1022">
        <v>32</v>
      </c>
      <c r="H176" s="1023">
        <v>32.1</v>
      </c>
      <c r="I176" s="1069">
        <f t="shared" si="2"/>
        <v>100.3125</v>
      </c>
    </row>
    <row r="177" spans="1:9" ht="18" customHeight="1">
      <c r="A177" s="801"/>
      <c r="B177" s="97"/>
      <c r="C177" s="102"/>
      <c r="D177" s="861" t="s">
        <v>565</v>
      </c>
      <c r="E177" s="982"/>
      <c r="F177" s="1021">
        <v>21.4</v>
      </c>
      <c r="G177" s="1022">
        <v>0</v>
      </c>
      <c r="H177" s="1023">
        <v>1.4</v>
      </c>
      <c r="I177" s="1069">
        <v>0</v>
      </c>
    </row>
    <row r="178" spans="1:9" ht="18" customHeight="1">
      <c r="A178" s="801"/>
      <c r="B178" s="97"/>
      <c r="C178" s="102"/>
      <c r="D178" s="138" t="s">
        <v>579</v>
      </c>
      <c r="E178" s="982"/>
      <c r="F178" s="1021">
        <v>2</v>
      </c>
      <c r="G178" s="1022">
        <v>0</v>
      </c>
      <c r="H178" s="1023">
        <v>0</v>
      </c>
      <c r="I178" s="1069">
        <v>0</v>
      </c>
    </row>
    <row r="179" spans="1:234" s="136" customFormat="1" ht="18" customHeight="1">
      <c r="A179" s="801"/>
      <c r="B179" s="97"/>
      <c r="C179" s="139">
        <v>824</v>
      </c>
      <c r="D179" s="100" t="s">
        <v>437</v>
      </c>
      <c r="E179" s="990"/>
      <c r="F179" s="1025">
        <f>SUM(F180:F180)</f>
        <v>31.6</v>
      </c>
      <c r="G179" s="1026">
        <f>SUM(G180:G180)</f>
        <v>31.6</v>
      </c>
      <c r="H179" s="1027">
        <f>SUM(H180:H180)</f>
        <v>33</v>
      </c>
      <c r="I179" s="1070">
        <f t="shared" si="2"/>
        <v>104.43037974683544</v>
      </c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5"/>
      <c r="DQ179" s="135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  <c r="EM179" s="135"/>
      <c r="EN179" s="135"/>
      <c r="EO179" s="135"/>
      <c r="EP179" s="135"/>
      <c r="EQ179" s="135"/>
      <c r="ER179" s="135"/>
      <c r="ES179" s="135"/>
      <c r="ET179" s="135"/>
      <c r="EU179" s="135"/>
      <c r="EV179" s="135"/>
      <c r="EW179" s="135"/>
      <c r="EX179" s="135"/>
      <c r="EY179" s="135"/>
      <c r="EZ179" s="135"/>
      <c r="FA179" s="135"/>
      <c r="FB179" s="135"/>
      <c r="FC179" s="135"/>
      <c r="FD179" s="135"/>
      <c r="FE179" s="135"/>
      <c r="FF179" s="135"/>
      <c r="FG179" s="135"/>
      <c r="FH179" s="135"/>
      <c r="FI179" s="135"/>
      <c r="FJ179" s="135"/>
      <c r="FK179" s="135"/>
      <c r="FL179" s="135"/>
      <c r="FM179" s="135"/>
      <c r="FN179" s="135"/>
      <c r="FO179" s="135"/>
      <c r="FP179" s="135"/>
      <c r="FQ179" s="135"/>
      <c r="FR179" s="135"/>
      <c r="FS179" s="135"/>
      <c r="FT179" s="135"/>
      <c r="FU179" s="135"/>
      <c r="FV179" s="135"/>
      <c r="FW179" s="135"/>
      <c r="FX179" s="135"/>
      <c r="FY179" s="135"/>
      <c r="FZ179" s="135"/>
      <c r="GA179" s="135"/>
      <c r="GB179" s="135"/>
      <c r="GC179" s="135"/>
      <c r="GD179" s="135"/>
      <c r="GE179" s="135"/>
      <c r="GF179" s="135"/>
      <c r="GG179" s="135"/>
      <c r="GH179" s="135"/>
      <c r="GI179" s="135"/>
      <c r="GJ179" s="135"/>
      <c r="GK179" s="135"/>
      <c r="GL179" s="135"/>
      <c r="GM179" s="135"/>
      <c r="GN179" s="135"/>
      <c r="GO179" s="135"/>
      <c r="GP179" s="135"/>
      <c r="GQ179" s="135"/>
      <c r="GR179" s="135"/>
      <c r="GS179" s="135"/>
      <c r="GT179" s="135"/>
      <c r="GU179" s="135"/>
      <c r="GV179" s="135"/>
      <c r="GW179" s="135"/>
      <c r="GX179" s="135"/>
      <c r="GY179" s="135"/>
      <c r="GZ179" s="135"/>
      <c r="HA179" s="135"/>
      <c r="HB179" s="135"/>
      <c r="HC179" s="135"/>
      <c r="HD179" s="135"/>
      <c r="HE179" s="135"/>
      <c r="HF179" s="135"/>
      <c r="HG179" s="135"/>
      <c r="HH179" s="135"/>
      <c r="HI179" s="135"/>
      <c r="HJ179" s="135"/>
      <c r="HK179" s="135"/>
      <c r="HL179" s="135"/>
      <c r="HM179" s="135"/>
      <c r="HN179" s="135"/>
      <c r="HO179" s="135"/>
      <c r="HP179" s="135"/>
      <c r="HQ179" s="135"/>
      <c r="HR179" s="135"/>
      <c r="HS179" s="135"/>
      <c r="HT179" s="135"/>
      <c r="HU179" s="135"/>
      <c r="HV179" s="135"/>
      <c r="HW179" s="135"/>
      <c r="HX179" s="135"/>
      <c r="HY179" s="135"/>
      <c r="HZ179" s="135"/>
    </row>
    <row r="180" spans="1:9" ht="18" customHeight="1">
      <c r="A180" s="801"/>
      <c r="B180" s="97"/>
      <c r="C180" s="140"/>
      <c r="D180" s="107" t="s">
        <v>496</v>
      </c>
      <c r="E180" s="982"/>
      <c r="F180" s="1021">
        <v>31.6</v>
      </c>
      <c r="G180" s="1022">
        <v>31.6</v>
      </c>
      <c r="H180" s="1023">
        <v>33</v>
      </c>
      <c r="I180" s="1069">
        <f t="shared" si="2"/>
        <v>104.43037974683544</v>
      </c>
    </row>
    <row r="181" spans="1:9" ht="18" customHeight="1" thickBot="1">
      <c r="A181" s="811"/>
      <c r="B181" s="812"/>
      <c r="C181" s="813"/>
      <c r="D181" s="814" t="s">
        <v>438</v>
      </c>
      <c r="E181" s="991"/>
      <c r="F181" s="1047">
        <f>F161+F162+F168</f>
        <v>11454.900000000001</v>
      </c>
      <c r="G181" s="1048">
        <f>G161+G162+G168</f>
        <v>9105.179999999998</v>
      </c>
      <c r="H181" s="1049">
        <f>H161+H162+H168</f>
        <v>8885.6</v>
      </c>
      <c r="I181" s="1078">
        <f t="shared" si="2"/>
        <v>97.58840572069967</v>
      </c>
    </row>
  </sheetData>
  <sheetProtection/>
  <printOptions horizontalCentered="1"/>
  <pageMargins left="0.1968503937007874" right="0.1968503937007874" top="0.9448818897637796" bottom="0.5511811023622047" header="0.4724409448818898" footer="0.31496062992125984"/>
  <pageSetup horizontalDpi="300" verticalDpi="300" orientation="portrait" paperSize="9" r:id="rId1"/>
  <headerFooter alignWithMargins="0">
    <oddHeader>&amp;C&amp;"Times New Roman,Obyčejné"&amp;12Plnenie programového rozpočtu mesta Svidník v roku  2010 (v tis. €)
</oddHeader>
    <oddFooter>&amp;L&amp;A&amp;C&amp;P z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28"/>
  <sheetViews>
    <sheetView view="pageBreakPreview" zoomScale="96" zoomScaleNormal="130" zoomScaleSheetLayoutView="96" zoomScalePageLayoutView="0" workbookViewId="0" topLeftCell="A10">
      <selection activeCell="X26" sqref="X26"/>
    </sheetView>
  </sheetViews>
  <sheetFormatPr defaultColWidth="9.140625" defaultRowHeight="12.75"/>
  <cols>
    <col min="1" max="1" width="1.28515625" style="150" customWidth="1"/>
    <col min="2" max="2" width="3.8515625" style="148" customWidth="1"/>
    <col min="3" max="3" width="3.7109375" style="149" customWidth="1"/>
    <col min="4" max="4" width="7.28125" style="150" customWidth="1"/>
    <col min="5" max="5" width="2.28125" style="150" customWidth="1"/>
    <col min="6" max="6" width="41.00390625" style="150" customWidth="1"/>
    <col min="7" max="7" width="3.8515625" style="150" customWidth="1"/>
    <col min="8" max="8" width="4.00390625" style="150" customWidth="1"/>
    <col min="9" max="9" width="7.140625" style="150" customWidth="1"/>
    <col min="10" max="10" width="5.28125" style="150" customWidth="1"/>
    <col min="11" max="11" width="3.8515625" style="150" customWidth="1"/>
    <col min="12" max="12" width="6.28125" style="150" customWidth="1"/>
    <col min="13" max="13" width="7.28125" style="150" customWidth="1"/>
    <col min="14" max="14" width="0.85546875" style="152" customWidth="1"/>
    <col min="15" max="15" width="4.140625" style="150" customWidth="1"/>
    <col min="16" max="16" width="4.28125" style="150" customWidth="1"/>
    <col min="17" max="17" width="6.421875" style="150" customWidth="1"/>
    <col min="18" max="18" width="4.421875" style="150" customWidth="1"/>
    <col min="19" max="19" width="7.421875" style="150" customWidth="1"/>
    <col min="20" max="20" width="7.28125" style="150" customWidth="1"/>
    <col min="21" max="21" width="1.1484375" style="152" customWidth="1"/>
    <col min="22" max="22" width="9.57421875" style="150" customWidth="1"/>
    <col min="23" max="23" width="9.7109375" style="150" customWidth="1"/>
    <col min="24" max="24" width="9.00390625" style="150" customWidth="1"/>
    <col min="25" max="16384" width="9.140625" style="150" customWidth="1"/>
  </cols>
  <sheetData>
    <row r="1" spans="13:22" ht="15.75" customHeight="1" thickBot="1">
      <c r="M1" s="151"/>
      <c r="T1" s="153"/>
      <c r="V1" s="153"/>
    </row>
    <row r="2" spans="2:24" ht="19.5" thickBot="1">
      <c r="B2" s="154"/>
      <c r="C2" s="155" t="s">
        <v>84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56"/>
      <c r="P2" s="156"/>
      <c r="Q2" s="156"/>
      <c r="R2" s="156"/>
      <c r="S2" s="156"/>
      <c r="T2" s="156"/>
      <c r="U2" s="156"/>
      <c r="V2" s="156"/>
      <c r="W2" s="156"/>
      <c r="X2" s="158"/>
    </row>
    <row r="3" spans="2:24" ht="13.5" thickBot="1">
      <c r="B3" s="154"/>
      <c r="C3" s="237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6"/>
      <c r="P3" s="156"/>
      <c r="Q3" s="156"/>
      <c r="R3" s="156"/>
      <c r="S3" s="156"/>
      <c r="T3" s="156"/>
      <c r="U3" s="156"/>
      <c r="V3" s="156"/>
      <c r="W3" s="156"/>
      <c r="X3" s="158"/>
    </row>
    <row r="4" spans="2:24" ht="15.75" customHeight="1">
      <c r="B4" s="1102" t="s">
        <v>497</v>
      </c>
      <c r="C4" s="1103"/>
      <c r="D4" s="1103"/>
      <c r="E4" s="1104"/>
      <c r="F4" s="1104"/>
      <c r="G4" s="1104"/>
      <c r="H4" s="1104"/>
      <c r="I4" s="1104"/>
      <c r="J4" s="1104"/>
      <c r="K4" s="1104"/>
      <c r="L4" s="1105"/>
      <c r="M4" s="1105"/>
      <c r="N4" s="159"/>
      <c r="O4" s="160"/>
      <c r="P4" s="160"/>
      <c r="Q4" s="160"/>
      <c r="R4" s="160"/>
      <c r="S4" s="160"/>
      <c r="T4" s="160"/>
      <c r="U4" s="159"/>
      <c r="V4" s="238"/>
      <c r="W4" s="239"/>
      <c r="X4" s="240"/>
    </row>
    <row r="5" spans="2:24" ht="18.75" customHeight="1">
      <c r="B5" s="161"/>
      <c r="C5" s="162"/>
      <c r="D5" s="163"/>
      <c r="E5" s="1113" t="s">
        <v>30</v>
      </c>
      <c r="F5" s="1114"/>
      <c r="G5" s="1114"/>
      <c r="H5" s="1114"/>
      <c r="I5" s="1114"/>
      <c r="J5" s="1114"/>
      <c r="K5" s="1114"/>
      <c r="L5" s="1114"/>
      <c r="M5" s="1114"/>
      <c r="N5" s="164"/>
      <c r="O5" s="1121" t="s">
        <v>29</v>
      </c>
      <c r="P5" s="1121"/>
      <c r="Q5" s="1121"/>
      <c r="R5" s="1121"/>
      <c r="S5" s="1121"/>
      <c r="T5" s="1121"/>
      <c r="U5" s="164"/>
      <c r="V5" s="241" t="s">
        <v>31</v>
      </c>
      <c r="W5" s="60" t="s">
        <v>558</v>
      </c>
      <c r="X5" s="59" t="s">
        <v>558</v>
      </c>
    </row>
    <row r="6" spans="2:24" ht="13.5" thickBot="1">
      <c r="B6" s="165"/>
      <c r="C6" s="145" t="s">
        <v>65</v>
      </c>
      <c r="D6" s="166" t="s">
        <v>27</v>
      </c>
      <c r="E6" s="1116"/>
      <c r="F6" s="1111" t="s">
        <v>28</v>
      </c>
      <c r="G6" s="1114"/>
      <c r="H6" s="1114"/>
      <c r="I6" s="1114"/>
      <c r="J6" s="1114"/>
      <c r="K6" s="1114"/>
      <c r="L6" s="1115"/>
      <c r="M6" s="1114"/>
      <c r="N6" s="53"/>
      <c r="O6" s="168"/>
      <c r="P6" s="168"/>
      <c r="Q6" s="168"/>
      <c r="R6" s="168"/>
      <c r="S6" s="168"/>
      <c r="T6" s="168"/>
      <c r="U6" s="53"/>
      <c r="V6" s="241"/>
      <c r="W6" s="60" t="s">
        <v>559</v>
      </c>
      <c r="X6" s="59" t="s">
        <v>559</v>
      </c>
    </row>
    <row r="7" spans="2:24" ht="12.75">
      <c r="B7" s="165"/>
      <c r="C7" s="145" t="s">
        <v>66</v>
      </c>
      <c r="D7" s="166" t="s">
        <v>64</v>
      </c>
      <c r="E7" s="1117"/>
      <c r="F7" s="1107" t="s">
        <v>20</v>
      </c>
      <c r="G7" s="1106">
        <v>610</v>
      </c>
      <c r="H7" s="1106">
        <v>620</v>
      </c>
      <c r="I7" s="1106">
        <v>630</v>
      </c>
      <c r="J7" s="1106">
        <v>640</v>
      </c>
      <c r="K7" s="1111">
        <v>650</v>
      </c>
      <c r="L7" s="1119" t="s">
        <v>562</v>
      </c>
      <c r="M7" s="1108" t="s">
        <v>558</v>
      </c>
      <c r="N7" s="52"/>
      <c r="O7" s="1122">
        <v>711</v>
      </c>
      <c r="P7" s="1106">
        <v>713</v>
      </c>
      <c r="Q7" s="1106">
        <v>716</v>
      </c>
      <c r="R7" s="1111">
        <v>717</v>
      </c>
      <c r="S7" s="1119" t="s">
        <v>562</v>
      </c>
      <c r="T7" s="1108" t="s">
        <v>558</v>
      </c>
      <c r="U7" s="53"/>
      <c r="V7" s="241" t="s">
        <v>49</v>
      </c>
      <c r="W7" s="60" t="s">
        <v>49</v>
      </c>
      <c r="X7" s="1118" t="s">
        <v>560</v>
      </c>
    </row>
    <row r="8" spans="2:24" ht="13.5" thickBot="1">
      <c r="B8" s="165"/>
      <c r="C8" s="145"/>
      <c r="D8" s="166"/>
      <c r="E8" s="1117"/>
      <c r="F8" s="1110"/>
      <c r="G8" s="1107"/>
      <c r="H8" s="1107"/>
      <c r="I8" s="1107"/>
      <c r="J8" s="1107"/>
      <c r="K8" s="1112"/>
      <c r="L8" s="1120"/>
      <c r="M8" s="1109"/>
      <c r="N8" s="52"/>
      <c r="O8" s="1123"/>
      <c r="P8" s="1107"/>
      <c r="Q8" s="1107"/>
      <c r="R8" s="1112"/>
      <c r="S8" s="1120"/>
      <c r="T8" s="1109"/>
      <c r="U8" s="53"/>
      <c r="V8" s="241">
        <v>2010</v>
      </c>
      <c r="W8" s="60" t="s">
        <v>561</v>
      </c>
      <c r="X8" s="1118"/>
    </row>
    <row r="9" spans="2:24" ht="19.5" customHeight="1" thickBot="1" thickTop="1">
      <c r="B9" s="582">
        <v>1</v>
      </c>
      <c r="C9" s="678" t="s">
        <v>63</v>
      </c>
      <c r="D9" s="679"/>
      <c r="E9" s="655"/>
      <c r="F9" s="655"/>
      <c r="G9" s="407"/>
      <c r="H9" s="407"/>
      <c r="I9" s="407">
        <f>I10+I13+I17+I20</f>
        <v>31.6</v>
      </c>
      <c r="J9" s="407">
        <f>J10+J13+J17+J20</f>
        <v>3.3</v>
      </c>
      <c r="K9" s="688"/>
      <c r="L9" s="274">
        <f>+G9+H9+I9+J9+K9</f>
        <v>34.9</v>
      </c>
      <c r="M9" s="273">
        <f>M10+M13+M17+M20</f>
        <v>40</v>
      </c>
      <c r="N9" s="705"/>
      <c r="O9" s="407"/>
      <c r="P9" s="407"/>
      <c r="Q9" s="407">
        <f>Q10+Q13+Q17+Q20</f>
        <v>81</v>
      </c>
      <c r="R9" s="407"/>
      <c r="S9" s="274">
        <f>SUM(O9:R9)</f>
        <v>81</v>
      </c>
      <c r="T9" s="273">
        <f>T10+T13+T17+T20</f>
        <v>46.1</v>
      </c>
      <c r="U9" s="706"/>
      <c r="V9" s="688">
        <f>V10+V13+V17+V20</f>
        <v>115.9</v>
      </c>
      <c r="W9" s="699">
        <f>W10+W13+W17+W22</f>
        <v>46.1</v>
      </c>
      <c r="X9" s="703">
        <f>+W9/V9*100</f>
        <v>39.77566867989646</v>
      </c>
    </row>
    <row r="10" spans="2:24" ht="19.5" customHeight="1" thickTop="1">
      <c r="B10" s="171">
        <f aca="true" t="shared" si="0" ref="B10:B25">B9+1</f>
        <v>2</v>
      </c>
      <c r="C10" s="379">
        <v>1</v>
      </c>
      <c r="D10" s="380" t="s">
        <v>67</v>
      </c>
      <c r="E10" s="381"/>
      <c r="F10" s="381"/>
      <c r="G10" s="382"/>
      <c r="H10" s="382"/>
      <c r="I10" s="382">
        <f>I11</f>
        <v>6.6</v>
      </c>
      <c r="J10" s="382">
        <f>J11</f>
        <v>0</v>
      </c>
      <c r="K10" s="383"/>
      <c r="L10" s="384">
        <f>SUM(G10:K10)</f>
        <v>6.6</v>
      </c>
      <c r="M10" s="479">
        <f>+M11</f>
        <v>6.6</v>
      </c>
      <c r="N10" s="178"/>
      <c r="O10" s="385"/>
      <c r="P10" s="382"/>
      <c r="Q10" s="382"/>
      <c r="R10" s="383"/>
      <c r="S10" s="384">
        <f>SUM(O10:R10)</f>
        <v>0</v>
      </c>
      <c r="T10" s="479">
        <f>+T11</f>
        <v>0</v>
      </c>
      <c r="U10" s="224"/>
      <c r="V10" s="383">
        <f>L10+S10</f>
        <v>6.6</v>
      </c>
      <c r="W10" s="384">
        <f>+M10+T10</f>
        <v>6.6</v>
      </c>
      <c r="X10" s="862">
        <f aca="true" t="shared" si="1" ref="X10:X25">+W10/V10*100</f>
        <v>100</v>
      </c>
    </row>
    <row r="11" spans="2:24" ht="19.5" customHeight="1">
      <c r="B11" s="172">
        <f t="shared" si="0"/>
        <v>3</v>
      </c>
      <c r="C11" s="181"/>
      <c r="D11" s="182" t="s">
        <v>71</v>
      </c>
      <c r="E11" s="183" t="s">
        <v>25</v>
      </c>
      <c r="F11" s="184"/>
      <c r="G11" s="185"/>
      <c r="H11" s="185"/>
      <c r="I11" s="185">
        <f>SUM(I12:I12)</f>
        <v>6.6</v>
      </c>
      <c r="J11" s="185"/>
      <c r="K11" s="186"/>
      <c r="L11" s="234">
        <f>+L12</f>
        <v>6.6</v>
      </c>
      <c r="M11" s="230">
        <f>+M12</f>
        <v>6.6</v>
      </c>
      <c r="N11" s="187"/>
      <c r="O11" s="188"/>
      <c r="P11" s="185"/>
      <c r="Q11" s="185"/>
      <c r="R11" s="186"/>
      <c r="S11" s="234">
        <f>+S12</f>
        <v>0</v>
      </c>
      <c r="T11" s="230">
        <f>+T12</f>
        <v>0</v>
      </c>
      <c r="U11" s="225"/>
      <c r="V11" s="186">
        <f aca="true" t="shared" si="2" ref="V11:V28">L11+S11</f>
        <v>6.6</v>
      </c>
      <c r="W11" s="189">
        <f>+W12</f>
        <v>6.6</v>
      </c>
      <c r="X11" s="590">
        <f t="shared" si="1"/>
        <v>100</v>
      </c>
    </row>
    <row r="12" spans="2:24" ht="19.5" customHeight="1">
      <c r="B12" s="172">
        <f t="shared" si="0"/>
        <v>4</v>
      </c>
      <c r="C12" s="181"/>
      <c r="D12" s="190"/>
      <c r="E12" s="191" t="s">
        <v>21</v>
      </c>
      <c r="F12" s="192" t="s">
        <v>32</v>
      </c>
      <c r="G12" s="193"/>
      <c r="H12" s="193"/>
      <c r="I12" s="194">
        <v>6.6</v>
      </c>
      <c r="J12" s="193"/>
      <c r="K12" s="195"/>
      <c r="L12" s="235">
        <f>SUM(G12:K12)</f>
        <v>6.6</v>
      </c>
      <c r="M12" s="231">
        <v>6.6</v>
      </c>
      <c r="N12" s="196"/>
      <c r="O12" s="197"/>
      <c r="P12" s="193"/>
      <c r="Q12" s="193"/>
      <c r="R12" s="195"/>
      <c r="S12" s="235">
        <f>SUM(O12:R12)</f>
        <v>0</v>
      </c>
      <c r="T12" s="231">
        <v>0</v>
      </c>
      <c r="U12" s="226"/>
      <c r="V12" s="198">
        <f t="shared" si="2"/>
        <v>6.6</v>
      </c>
      <c r="W12" s="199">
        <f>+M12+T12</f>
        <v>6.6</v>
      </c>
      <c r="X12" s="863">
        <f t="shared" si="1"/>
        <v>100</v>
      </c>
    </row>
    <row r="13" spans="2:24" ht="19.5" customHeight="1">
      <c r="B13" s="172">
        <f t="shared" si="0"/>
        <v>5</v>
      </c>
      <c r="C13" s="173">
        <v>2</v>
      </c>
      <c r="D13" s="174" t="s">
        <v>85</v>
      </c>
      <c r="E13" s="175"/>
      <c r="F13" s="175"/>
      <c r="G13" s="176"/>
      <c r="H13" s="176"/>
      <c r="I13" s="176">
        <v>0</v>
      </c>
      <c r="J13" s="176">
        <f>J14</f>
        <v>3.3</v>
      </c>
      <c r="K13" s="177"/>
      <c r="L13" s="180">
        <f>SUM(G13:K13)</f>
        <v>3.3</v>
      </c>
      <c r="M13" s="229">
        <f>+M14</f>
        <v>3.1</v>
      </c>
      <c r="N13" s="178"/>
      <c r="O13" s="179"/>
      <c r="P13" s="176"/>
      <c r="Q13" s="176"/>
      <c r="R13" s="177"/>
      <c r="S13" s="180">
        <f>SUM(O13:R13)</f>
        <v>0</v>
      </c>
      <c r="T13" s="229">
        <f>+T14</f>
        <v>0</v>
      </c>
      <c r="U13" s="224"/>
      <c r="V13" s="177">
        <f t="shared" si="2"/>
        <v>3.3</v>
      </c>
      <c r="W13" s="180">
        <f>+M13+T13</f>
        <v>3.1</v>
      </c>
      <c r="X13" s="432">
        <f t="shared" si="1"/>
        <v>93.93939393939394</v>
      </c>
    </row>
    <row r="14" spans="2:24" ht="19.5" customHeight="1">
      <c r="B14" s="172">
        <f t="shared" si="0"/>
        <v>6</v>
      </c>
      <c r="C14" s="181"/>
      <c r="D14" s="182" t="s">
        <v>99</v>
      </c>
      <c r="E14" s="183" t="s">
        <v>106</v>
      </c>
      <c r="F14" s="183"/>
      <c r="G14" s="185"/>
      <c r="H14" s="185"/>
      <c r="I14" s="185">
        <v>0</v>
      </c>
      <c r="J14" s="185">
        <f>J15</f>
        <v>3.3</v>
      </c>
      <c r="K14" s="186"/>
      <c r="L14" s="234">
        <f>+L15</f>
        <v>3.3</v>
      </c>
      <c r="M14" s="230">
        <f>+M15</f>
        <v>3.1</v>
      </c>
      <c r="N14" s="187"/>
      <c r="O14" s="188"/>
      <c r="P14" s="185"/>
      <c r="Q14" s="185"/>
      <c r="R14" s="186"/>
      <c r="S14" s="234">
        <f>+S15</f>
        <v>0</v>
      </c>
      <c r="T14" s="230">
        <f>+T15</f>
        <v>0</v>
      </c>
      <c r="U14" s="225"/>
      <c r="V14" s="186">
        <f t="shared" si="2"/>
        <v>3.3</v>
      </c>
      <c r="W14" s="189">
        <f>+W15</f>
        <v>3.1</v>
      </c>
      <c r="X14" s="590">
        <f t="shared" si="1"/>
        <v>93.93939393939394</v>
      </c>
    </row>
    <row r="15" spans="2:24" ht="19.5" customHeight="1">
      <c r="B15" s="172">
        <f t="shared" si="0"/>
        <v>7</v>
      </c>
      <c r="C15" s="200"/>
      <c r="D15" s="190"/>
      <c r="E15" s="191" t="s">
        <v>21</v>
      </c>
      <c r="F15" s="201" t="s">
        <v>33</v>
      </c>
      <c r="G15" s="193"/>
      <c r="H15" s="193"/>
      <c r="I15" s="193"/>
      <c r="J15" s="194">
        <v>3.3</v>
      </c>
      <c r="K15" s="195"/>
      <c r="L15" s="235">
        <f>SUM(G15:K15)</f>
        <v>3.3</v>
      </c>
      <c r="M15" s="231">
        <v>3.1</v>
      </c>
      <c r="N15" s="196"/>
      <c r="O15" s="197"/>
      <c r="P15" s="193"/>
      <c r="Q15" s="193"/>
      <c r="R15" s="195"/>
      <c r="S15" s="235">
        <f>SUM(O15:R15)</f>
        <v>0</v>
      </c>
      <c r="T15" s="231">
        <v>0</v>
      </c>
      <c r="U15" s="226"/>
      <c r="V15" s="198">
        <f t="shared" si="2"/>
        <v>3.3</v>
      </c>
      <c r="W15" s="199">
        <f>+M15+T15</f>
        <v>3.1</v>
      </c>
      <c r="X15" s="863">
        <f t="shared" si="1"/>
        <v>93.93939393939394</v>
      </c>
    </row>
    <row r="16" spans="2:24" ht="19.5" customHeight="1">
      <c r="B16" s="172">
        <f t="shared" si="0"/>
        <v>8</v>
      </c>
      <c r="C16" s="173">
        <v>3</v>
      </c>
      <c r="D16" s="174" t="s">
        <v>86</v>
      </c>
      <c r="E16" s="175"/>
      <c r="F16" s="175"/>
      <c r="G16" s="202"/>
      <c r="H16" s="202"/>
      <c r="I16" s="202"/>
      <c r="J16" s="202"/>
      <c r="K16" s="203"/>
      <c r="L16" s="206"/>
      <c r="M16" s="232"/>
      <c r="N16" s="204"/>
      <c r="O16" s="205"/>
      <c r="P16" s="202"/>
      <c r="Q16" s="202"/>
      <c r="R16" s="203"/>
      <c r="S16" s="206">
        <f>+O16+P16+Q16+R16</f>
        <v>0</v>
      </c>
      <c r="T16" s="232"/>
      <c r="U16" s="224"/>
      <c r="V16" s="203">
        <f t="shared" si="2"/>
        <v>0</v>
      </c>
      <c r="W16" s="206"/>
      <c r="X16" s="864"/>
    </row>
    <row r="17" spans="2:24" ht="19.5" customHeight="1">
      <c r="B17" s="172">
        <f t="shared" si="0"/>
        <v>9</v>
      </c>
      <c r="C17" s="173"/>
      <c r="D17" s="174" t="s">
        <v>87</v>
      </c>
      <c r="E17" s="175"/>
      <c r="F17" s="175"/>
      <c r="G17" s="176"/>
      <c r="H17" s="176"/>
      <c r="I17" s="176">
        <f>I18</f>
        <v>25</v>
      </c>
      <c r="J17" s="176"/>
      <c r="K17" s="177"/>
      <c r="L17" s="180">
        <f>SUM(G17:K17)</f>
        <v>25</v>
      </c>
      <c r="M17" s="229">
        <f>+M18</f>
        <v>30.3</v>
      </c>
      <c r="N17" s="178"/>
      <c r="O17" s="179"/>
      <c r="P17" s="176"/>
      <c r="Q17" s="176"/>
      <c r="R17" s="177"/>
      <c r="S17" s="180">
        <f>SUM(O17:R17)</f>
        <v>0</v>
      </c>
      <c r="T17" s="229">
        <f>+T18</f>
        <v>0</v>
      </c>
      <c r="U17" s="225"/>
      <c r="V17" s="177">
        <f t="shared" si="2"/>
        <v>25</v>
      </c>
      <c r="W17" s="180">
        <f>+M17+T17</f>
        <v>30.3</v>
      </c>
      <c r="X17" s="432">
        <f t="shared" si="1"/>
        <v>121.2</v>
      </c>
    </row>
    <row r="18" spans="2:24" ht="19.5" customHeight="1">
      <c r="B18" s="172">
        <f t="shared" si="0"/>
        <v>10</v>
      </c>
      <c r="C18" s="181"/>
      <c r="D18" s="182" t="s">
        <v>108</v>
      </c>
      <c r="E18" s="183" t="s">
        <v>110</v>
      </c>
      <c r="F18" s="183"/>
      <c r="G18" s="185"/>
      <c r="H18" s="185"/>
      <c r="I18" s="185">
        <f>SUM(I19:I19)</f>
        <v>25</v>
      </c>
      <c r="J18" s="185"/>
      <c r="K18" s="186"/>
      <c r="L18" s="234">
        <f>+L19</f>
        <v>25</v>
      </c>
      <c r="M18" s="230">
        <f>+M19</f>
        <v>30.3</v>
      </c>
      <c r="N18" s="187"/>
      <c r="O18" s="188"/>
      <c r="P18" s="185"/>
      <c r="Q18" s="185"/>
      <c r="R18" s="186"/>
      <c r="S18" s="234">
        <f>+S19</f>
        <v>0</v>
      </c>
      <c r="T18" s="230">
        <f>+T19</f>
        <v>0</v>
      </c>
      <c r="U18" s="226"/>
      <c r="V18" s="186">
        <f t="shared" si="2"/>
        <v>25</v>
      </c>
      <c r="W18" s="189">
        <f>+W19</f>
        <v>30.3</v>
      </c>
      <c r="X18" s="590">
        <f t="shared" si="1"/>
        <v>121.2</v>
      </c>
    </row>
    <row r="19" spans="2:24" ht="19.5" customHeight="1">
      <c r="B19" s="172">
        <f t="shared" si="0"/>
        <v>11</v>
      </c>
      <c r="C19" s="181"/>
      <c r="D19" s="190"/>
      <c r="E19" s="191" t="s">
        <v>21</v>
      </c>
      <c r="F19" s="192" t="s">
        <v>526</v>
      </c>
      <c r="G19" s="193"/>
      <c r="H19" s="193"/>
      <c r="I19" s="207">
        <v>25</v>
      </c>
      <c r="J19" s="193"/>
      <c r="K19" s="195"/>
      <c r="L19" s="235">
        <f>SUM(G19:K19)</f>
        <v>25</v>
      </c>
      <c r="M19" s="231">
        <f>0.2+12.5+17.6</f>
        <v>30.3</v>
      </c>
      <c r="N19" s="196"/>
      <c r="O19" s="197"/>
      <c r="P19" s="193"/>
      <c r="Q19" s="193"/>
      <c r="R19" s="195"/>
      <c r="S19" s="235">
        <f>SUM(O19:R19)</f>
        <v>0</v>
      </c>
      <c r="T19" s="231">
        <v>0</v>
      </c>
      <c r="U19" s="226"/>
      <c r="V19" s="198">
        <f t="shared" si="2"/>
        <v>25</v>
      </c>
      <c r="W19" s="199">
        <f>+M19+T19</f>
        <v>30.3</v>
      </c>
      <c r="X19" s="863">
        <f t="shared" si="1"/>
        <v>121.2</v>
      </c>
    </row>
    <row r="20" spans="2:24" ht="19.5" customHeight="1">
      <c r="B20" s="172">
        <f t="shared" si="0"/>
        <v>12</v>
      </c>
      <c r="C20" s="173">
        <v>4</v>
      </c>
      <c r="D20" s="174" t="s">
        <v>107</v>
      </c>
      <c r="E20" s="175"/>
      <c r="F20" s="175"/>
      <c r="G20" s="176"/>
      <c r="H20" s="176"/>
      <c r="I20" s="176"/>
      <c r="J20" s="176"/>
      <c r="K20" s="177"/>
      <c r="L20" s="180">
        <f>SUM(G20:K20)</f>
        <v>0</v>
      </c>
      <c r="M20" s="229">
        <f>+M21</f>
        <v>0</v>
      </c>
      <c r="N20" s="178"/>
      <c r="O20" s="179"/>
      <c r="P20" s="176"/>
      <c r="Q20" s="176">
        <f>Q21</f>
        <v>81</v>
      </c>
      <c r="R20" s="177"/>
      <c r="S20" s="180">
        <f>SUM(O20:R20)</f>
        <v>81</v>
      </c>
      <c r="T20" s="229">
        <f>+T21</f>
        <v>46.1</v>
      </c>
      <c r="U20" s="224"/>
      <c r="V20" s="177">
        <f t="shared" si="2"/>
        <v>81</v>
      </c>
      <c r="W20" s="180">
        <f>+M20+T20</f>
        <v>46.1</v>
      </c>
      <c r="X20" s="432">
        <f>+W20/V20*100</f>
        <v>56.91358024691359</v>
      </c>
    </row>
    <row r="21" spans="2:24" ht="19.5" customHeight="1">
      <c r="B21" s="172">
        <f t="shared" si="0"/>
        <v>13</v>
      </c>
      <c r="C21" s="181"/>
      <c r="D21" s="182" t="s">
        <v>71</v>
      </c>
      <c r="E21" s="183" t="s">
        <v>25</v>
      </c>
      <c r="F21" s="183"/>
      <c r="G21" s="185"/>
      <c r="H21" s="185"/>
      <c r="I21" s="185"/>
      <c r="J21" s="185"/>
      <c r="K21" s="186"/>
      <c r="L21" s="234">
        <f>SUM(L22:L28)</f>
        <v>0</v>
      </c>
      <c r="M21" s="230">
        <f>SUM(M22:M28)</f>
        <v>0</v>
      </c>
      <c r="N21" s="187"/>
      <c r="O21" s="188"/>
      <c r="P21" s="185"/>
      <c r="Q21" s="185">
        <f>SUM(Q22:Q28)</f>
        <v>81</v>
      </c>
      <c r="R21" s="186"/>
      <c r="S21" s="234">
        <f>SUM(S22:S28)</f>
        <v>81</v>
      </c>
      <c r="T21" s="230">
        <f>SUM(T22:T28)</f>
        <v>46.1</v>
      </c>
      <c r="U21" s="225"/>
      <c r="V21" s="186">
        <f t="shared" si="2"/>
        <v>81</v>
      </c>
      <c r="W21" s="189">
        <f>SUM(W22:W28)</f>
        <v>46.1</v>
      </c>
      <c r="X21" s="590">
        <f>+W21/V21*100</f>
        <v>56.91358024691359</v>
      </c>
    </row>
    <row r="22" spans="2:24" s="211" customFormat="1" ht="19.5" customHeight="1">
      <c r="B22" s="172">
        <f t="shared" si="0"/>
        <v>14</v>
      </c>
      <c r="C22" s="181"/>
      <c r="D22" s="190"/>
      <c r="E22" s="208">
        <v>1</v>
      </c>
      <c r="F22" s="209" t="s">
        <v>511</v>
      </c>
      <c r="G22" s="193"/>
      <c r="H22" s="193"/>
      <c r="I22" s="193"/>
      <c r="J22" s="193"/>
      <c r="K22" s="195"/>
      <c r="L22" s="235">
        <f aca="true" t="shared" si="3" ref="L22:L28">SUM(G22:K22)</f>
        <v>0</v>
      </c>
      <c r="M22" s="231">
        <v>0</v>
      </c>
      <c r="N22" s="196"/>
      <c r="O22" s="197"/>
      <c r="P22" s="193"/>
      <c r="Q22" s="210">
        <v>35.6</v>
      </c>
      <c r="R22" s="195"/>
      <c r="S22" s="235">
        <f>SUM(O22:R22)</f>
        <v>35.6</v>
      </c>
      <c r="T22" s="231">
        <v>6.1</v>
      </c>
      <c r="U22" s="226"/>
      <c r="V22" s="198">
        <f t="shared" si="2"/>
        <v>35.6</v>
      </c>
      <c r="W22" s="199">
        <f aca="true" t="shared" si="4" ref="W22:W28">+M22+T22</f>
        <v>6.1</v>
      </c>
      <c r="X22" s="863">
        <f>+W22/V22*100</f>
        <v>17.134831460674153</v>
      </c>
    </row>
    <row r="23" spans="2:24" s="211" customFormat="1" ht="19.5" customHeight="1">
      <c r="B23" s="172">
        <f t="shared" si="0"/>
        <v>15</v>
      </c>
      <c r="C23" s="181"/>
      <c r="D23" s="190"/>
      <c r="E23" s="212">
        <f>E22+1</f>
        <v>2</v>
      </c>
      <c r="F23" s="209" t="s">
        <v>512</v>
      </c>
      <c r="G23" s="193"/>
      <c r="H23" s="193"/>
      <c r="I23" s="193"/>
      <c r="J23" s="193"/>
      <c r="K23" s="195"/>
      <c r="L23" s="235">
        <f t="shared" si="3"/>
        <v>0</v>
      </c>
      <c r="M23" s="231">
        <f>C23+K23</f>
        <v>0</v>
      </c>
      <c r="N23" s="196"/>
      <c r="O23" s="197"/>
      <c r="P23" s="193"/>
      <c r="Q23" s="210">
        <v>15.8</v>
      </c>
      <c r="R23" s="195"/>
      <c r="S23" s="235">
        <f aca="true" t="shared" si="5" ref="S23:S28">+O23+P23+Q23+R23</f>
        <v>15.8</v>
      </c>
      <c r="T23" s="231">
        <f>J23+R23</f>
        <v>0</v>
      </c>
      <c r="U23" s="226"/>
      <c r="V23" s="198">
        <f t="shared" si="2"/>
        <v>15.8</v>
      </c>
      <c r="W23" s="199">
        <f t="shared" si="4"/>
        <v>0</v>
      </c>
      <c r="X23" s="863">
        <f>+W23/V23*100</f>
        <v>0</v>
      </c>
    </row>
    <row r="24" spans="2:24" s="211" customFormat="1" ht="19.5" customHeight="1">
      <c r="B24" s="172">
        <f t="shared" si="0"/>
        <v>16</v>
      </c>
      <c r="C24" s="181"/>
      <c r="D24" s="190"/>
      <c r="E24" s="212">
        <f>E23+1</f>
        <v>3</v>
      </c>
      <c r="F24" s="209" t="s">
        <v>513</v>
      </c>
      <c r="G24" s="193"/>
      <c r="H24" s="193"/>
      <c r="I24" s="193"/>
      <c r="J24" s="193"/>
      <c r="K24" s="195"/>
      <c r="L24" s="235">
        <f t="shared" si="3"/>
        <v>0</v>
      </c>
      <c r="M24" s="231">
        <f>C24+K24</f>
        <v>0</v>
      </c>
      <c r="N24" s="196"/>
      <c r="O24" s="197"/>
      <c r="P24" s="193"/>
      <c r="Q24" s="210">
        <v>24.6</v>
      </c>
      <c r="R24" s="195"/>
      <c r="S24" s="235">
        <f t="shared" si="5"/>
        <v>24.6</v>
      </c>
      <c r="T24" s="231">
        <v>24.4</v>
      </c>
      <c r="U24" s="226"/>
      <c r="V24" s="198">
        <f t="shared" si="2"/>
        <v>24.6</v>
      </c>
      <c r="W24" s="199">
        <f t="shared" si="4"/>
        <v>24.4</v>
      </c>
      <c r="X24" s="863">
        <f t="shared" si="1"/>
        <v>99.18699186991869</v>
      </c>
    </row>
    <row r="25" spans="2:24" s="211" customFormat="1" ht="19.5" customHeight="1">
      <c r="B25" s="172">
        <f t="shared" si="0"/>
        <v>17</v>
      </c>
      <c r="C25" s="181"/>
      <c r="D25" s="190"/>
      <c r="E25" s="212">
        <f>E24+1</f>
        <v>4</v>
      </c>
      <c r="F25" s="209" t="s">
        <v>514</v>
      </c>
      <c r="G25" s="193"/>
      <c r="H25" s="193"/>
      <c r="I25" s="193"/>
      <c r="J25" s="193"/>
      <c r="K25" s="195"/>
      <c r="L25" s="235">
        <f t="shared" si="3"/>
        <v>0</v>
      </c>
      <c r="M25" s="231">
        <f>C25+K25</f>
        <v>0</v>
      </c>
      <c r="N25" s="196"/>
      <c r="O25" s="197"/>
      <c r="P25" s="193"/>
      <c r="Q25" s="213">
        <v>5</v>
      </c>
      <c r="R25" s="195"/>
      <c r="S25" s="235">
        <f t="shared" si="5"/>
        <v>5</v>
      </c>
      <c r="T25" s="231">
        <f>J25+R25</f>
        <v>0</v>
      </c>
      <c r="U25" s="226"/>
      <c r="V25" s="198">
        <f t="shared" si="2"/>
        <v>5</v>
      </c>
      <c r="W25" s="199">
        <f t="shared" si="4"/>
        <v>0</v>
      </c>
      <c r="X25" s="863">
        <f t="shared" si="1"/>
        <v>0</v>
      </c>
    </row>
    <row r="26" spans="2:24" s="211" customFormat="1" ht="19.5" customHeight="1">
      <c r="B26" s="387">
        <v>18</v>
      </c>
      <c r="C26" s="388"/>
      <c r="D26" s="630"/>
      <c r="E26" s="965">
        <v>5</v>
      </c>
      <c r="F26" s="357" t="s">
        <v>505</v>
      </c>
      <c r="G26" s="290"/>
      <c r="H26" s="290"/>
      <c r="I26" s="290"/>
      <c r="J26" s="290"/>
      <c r="K26" s="291"/>
      <c r="L26" s="235">
        <f t="shared" si="3"/>
        <v>0</v>
      </c>
      <c r="M26" s="231">
        <f>C26+K26</f>
        <v>0</v>
      </c>
      <c r="N26" s="196"/>
      <c r="O26" s="967"/>
      <c r="P26" s="290"/>
      <c r="Q26" s="968">
        <v>0</v>
      </c>
      <c r="R26" s="291"/>
      <c r="S26" s="235">
        <f t="shared" si="5"/>
        <v>0</v>
      </c>
      <c r="T26" s="231">
        <v>1.6</v>
      </c>
      <c r="U26" s="226"/>
      <c r="V26" s="198">
        <f>L26+S26</f>
        <v>0</v>
      </c>
      <c r="W26" s="199">
        <f t="shared" si="4"/>
        <v>1.6</v>
      </c>
      <c r="X26" s="863"/>
    </row>
    <row r="27" spans="2:24" s="211" customFormat="1" ht="19.5" customHeight="1">
      <c r="B27" s="387">
        <v>19</v>
      </c>
      <c r="C27" s="388"/>
      <c r="D27" s="630"/>
      <c r="E27" s="965">
        <v>6</v>
      </c>
      <c r="F27" s="969" t="s">
        <v>577</v>
      </c>
      <c r="G27" s="290"/>
      <c r="H27" s="290"/>
      <c r="I27" s="290"/>
      <c r="J27" s="290"/>
      <c r="K27" s="291"/>
      <c r="L27" s="235">
        <f t="shared" si="3"/>
        <v>0</v>
      </c>
      <c r="M27" s="966">
        <v>0</v>
      </c>
      <c r="N27" s="196"/>
      <c r="O27" s="967"/>
      <c r="P27" s="290"/>
      <c r="Q27" s="968">
        <v>0</v>
      </c>
      <c r="R27" s="291"/>
      <c r="S27" s="235">
        <f t="shared" si="5"/>
        <v>0</v>
      </c>
      <c r="T27" s="966">
        <v>2.4</v>
      </c>
      <c r="U27" s="226"/>
      <c r="V27" s="198">
        <f>L27+S27</f>
        <v>0</v>
      </c>
      <c r="W27" s="199">
        <f t="shared" si="4"/>
        <v>2.4</v>
      </c>
      <c r="X27" s="863"/>
    </row>
    <row r="28" spans="2:24" s="211" customFormat="1" ht="19.5" customHeight="1" thickBot="1">
      <c r="B28" s="214">
        <v>20</v>
      </c>
      <c r="C28" s="215"/>
      <c r="D28" s="216"/>
      <c r="E28" s="217">
        <v>7</v>
      </c>
      <c r="F28" s="218" t="s">
        <v>567</v>
      </c>
      <c r="G28" s="219"/>
      <c r="H28" s="219"/>
      <c r="I28" s="219"/>
      <c r="J28" s="219"/>
      <c r="K28" s="228"/>
      <c r="L28" s="236">
        <f t="shared" si="3"/>
        <v>0</v>
      </c>
      <c r="M28" s="233">
        <f>C28+K28</f>
        <v>0</v>
      </c>
      <c r="N28" s="220"/>
      <c r="O28" s="219"/>
      <c r="P28" s="219"/>
      <c r="Q28" s="221">
        <v>0</v>
      </c>
      <c r="R28" s="228"/>
      <c r="S28" s="236">
        <f t="shared" si="5"/>
        <v>0</v>
      </c>
      <c r="T28" s="233">
        <v>11.6</v>
      </c>
      <c r="U28" s="227"/>
      <c r="V28" s="222">
        <f t="shared" si="2"/>
        <v>0</v>
      </c>
      <c r="W28" s="223">
        <f t="shared" si="4"/>
        <v>11.6</v>
      </c>
      <c r="X28" s="865"/>
    </row>
  </sheetData>
  <sheetProtection/>
  <mergeCells count="20">
    <mergeCell ref="R7:R8"/>
    <mergeCell ref="E5:M5"/>
    <mergeCell ref="F6:M6"/>
    <mergeCell ref="E6:E8"/>
    <mergeCell ref="X7:X8"/>
    <mergeCell ref="L7:L8"/>
    <mergeCell ref="S7:S8"/>
    <mergeCell ref="O5:T5"/>
    <mergeCell ref="K7:K8"/>
    <mergeCell ref="O7:O8"/>
    <mergeCell ref="B4:M4"/>
    <mergeCell ref="G7:G8"/>
    <mergeCell ref="P7:P8"/>
    <mergeCell ref="M7:M8"/>
    <mergeCell ref="T7:T8"/>
    <mergeCell ref="Q7:Q8"/>
    <mergeCell ref="F7:F8"/>
    <mergeCell ref="H7:H8"/>
    <mergeCell ref="I7:I8"/>
    <mergeCell ref="J7:J8"/>
  </mergeCells>
  <printOptions horizontalCentered="1"/>
  <pageMargins left="0.16" right="0.15748031496062992" top="0.9055118110236221" bottom="0.5118110236220472" header="0.5118110236220472" footer="0.5118110236220472"/>
  <pageSetup horizontalDpi="600" verticalDpi="600" orientation="landscape" paperSize="9" scale="90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="115" zoomScaleNormal="115" zoomScalePageLayoutView="0" workbookViewId="0" topLeftCell="B34">
      <selection activeCell="L48" sqref="L48"/>
    </sheetView>
  </sheetViews>
  <sheetFormatPr defaultColWidth="9.140625" defaultRowHeight="12.75"/>
  <cols>
    <col min="1" max="1" width="3.140625" style="148" customWidth="1"/>
    <col min="2" max="2" width="3.421875" style="149" customWidth="1"/>
    <col min="3" max="3" width="7.28125" style="150" customWidth="1"/>
    <col min="4" max="4" width="2.28125" style="150" customWidth="1"/>
    <col min="5" max="5" width="36.8515625" style="150" customWidth="1"/>
    <col min="6" max="6" width="5.28125" style="150" customWidth="1"/>
    <col min="7" max="7" width="5.140625" style="150" customWidth="1"/>
    <col min="8" max="8" width="7.421875" style="150" customWidth="1"/>
    <col min="9" max="9" width="4.7109375" style="150" customWidth="1"/>
    <col min="10" max="10" width="4.57421875" style="150" customWidth="1"/>
    <col min="11" max="11" width="6.00390625" style="150" bestFit="1" customWidth="1"/>
    <col min="12" max="12" width="7.8515625" style="150" customWidth="1"/>
    <col min="13" max="13" width="0.85546875" style="152" customWidth="1"/>
    <col min="14" max="14" width="5.8515625" style="150" customWidth="1"/>
    <col min="15" max="15" width="5.00390625" style="150" customWidth="1"/>
    <col min="16" max="16" width="5.57421875" style="150" customWidth="1"/>
    <col min="17" max="17" width="4.7109375" style="150" bestFit="1" customWidth="1"/>
    <col min="18" max="18" width="6.00390625" style="150" bestFit="1" customWidth="1"/>
    <col min="19" max="19" width="6.7109375" style="150" customWidth="1"/>
    <col min="20" max="20" width="0.9921875" style="152" customWidth="1"/>
    <col min="21" max="21" width="9.8515625" style="150" customWidth="1"/>
    <col min="22" max="22" width="10.00390625" style="150" customWidth="1"/>
    <col min="23" max="16384" width="9.140625" style="150" customWidth="1"/>
  </cols>
  <sheetData>
    <row r="1" spans="12:21" ht="13.5" customHeight="1">
      <c r="L1" s="151"/>
      <c r="U1" s="151"/>
    </row>
    <row r="2" spans="2:21" ht="18.75" customHeight="1">
      <c r="B2" s="249" t="s">
        <v>158</v>
      </c>
      <c r="U2" s="153"/>
    </row>
    <row r="3" ht="3" customHeight="1" thickBot="1"/>
    <row r="4" spans="1:23" ht="13.5" customHeight="1">
      <c r="A4" s="1102" t="s">
        <v>497</v>
      </c>
      <c r="B4" s="1103"/>
      <c r="C4" s="1103"/>
      <c r="D4" s="1103"/>
      <c r="E4" s="1104"/>
      <c r="F4" s="1104"/>
      <c r="G4" s="1104"/>
      <c r="H4" s="1104"/>
      <c r="I4" s="1104"/>
      <c r="J4" s="1104"/>
      <c r="K4" s="1105"/>
      <c r="L4" s="1105"/>
      <c r="M4" s="342"/>
      <c r="N4" s="343"/>
      <c r="O4" s="344"/>
      <c r="P4" s="344"/>
      <c r="Q4" s="344"/>
      <c r="R4" s="344"/>
      <c r="S4" s="344"/>
      <c r="T4" s="345"/>
      <c r="U4" s="346"/>
      <c r="V4" s="239"/>
      <c r="W4" s="240"/>
    </row>
    <row r="5" spans="1:23" ht="14.25" customHeight="1">
      <c r="A5" s="161"/>
      <c r="B5" s="162"/>
      <c r="C5" s="347"/>
      <c r="D5" s="167"/>
      <c r="E5" s="1123" t="s">
        <v>20</v>
      </c>
      <c r="F5" s="1113" t="s">
        <v>30</v>
      </c>
      <c r="G5" s="1129"/>
      <c r="H5" s="1129"/>
      <c r="I5" s="1128"/>
      <c r="J5" s="1129"/>
      <c r="K5" s="1129"/>
      <c r="L5" s="1129"/>
      <c r="M5" s="164"/>
      <c r="N5" s="1121" t="s">
        <v>29</v>
      </c>
      <c r="O5" s="1121"/>
      <c r="P5" s="1121"/>
      <c r="Q5" s="1121"/>
      <c r="R5" s="1121"/>
      <c r="S5" s="1121"/>
      <c r="T5" s="164"/>
      <c r="U5" s="59" t="s">
        <v>31</v>
      </c>
      <c r="V5" s="60" t="s">
        <v>558</v>
      </c>
      <c r="W5" s="59" t="s">
        <v>558</v>
      </c>
    </row>
    <row r="6" spans="1:23" ht="13.5" thickBot="1">
      <c r="A6" s="165"/>
      <c r="B6" s="145" t="s">
        <v>65</v>
      </c>
      <c r="C6" s="267" t="s">
        <v>27</v>
      </c>
      <c r="D6" s="169"/>
      <c r="E6" s="1130"/>
      <c r="F6" s="1111" t="s">
        <v>28</v>
      </c>
      <c r="G6" s="1127"/>
      <c r="H6" s="1127"/>
      <c r="I6" s="1127"/>
      <c r="J6" s="1128"/>
      <c r="K6" s="1128"/>
      <c r="L6" s="1127"/>
      <c r="M6" s="53"/>
      <c r="N6" s="348"/>
      <c r="O6" s="348"/>
      <c r="P6" s="348"/>
      <c r="Q6" s="348"/>
      <c r="R6" s="348"/>
      <c r="S6" s="348"/>
      <c r="T6" s="53"/>
      <c r="U6" s="59"/>
      <c r="V6" s="60" t="s">
        <v>559</v>
      </c>
      <c r="W6" s="59" t="s">
        <v>559</v>
      </c>
    </row>
    <row r="7" spans="1:23" ht="10.5" customHeight="1">
      <c r="A7" s="165"/>
      <c r="B7" s="145" t="s">
        <v>66</v>
      </c>
      <c r="C7" s="267" t="s">
        <v>64</v>
      </c>
      <c r="D7" s="169"/>
      <c r="E7" s="1131"/>
      <c r="F7" s="1106">
        <v>610</v>
      </c>
      <c r="G7" s="1106">
        <v>620</v>
      </c>
      <c r="H7" s="1106">
        <v>630</v>
      </c>
      <c r="I7" s="1106">
        <v>640</v>
      </c>
      <c r="J7" s="1111">
        <v>650</v>
      </c>
      <c r="K7" s="1119" t="s">
        <v>562</v>
      </c>
      <c r="L7" s="1108" t="s">
        <v>558</v>
      </c>
      <c r="M7" s="226"/>
      <c r="N7" s="1126">
        <v>711</v>
      </c>
      <c r="O7" s="1124">
        <v>713</v>
      </c>
      <c r="P7" s="1124">
        <v>714</v>
      </c>
      <c r="Q7" s="1125">
        <v>717</v>
      </c>
      <c r="R7" s="1119" t="s">
        <v>562</v>
      </c>
      <c r="S7" s="1108" t="s">
        <v>558</v>
      </c>
      <c r="T7" s="53"/>
      <c r="U7" s="59" t="s">
        <v>49</v>
      </c>
      <c r="V7" s="60" t="s">
        <v>49</v>
      </c>
      <c r="W7" s="1118" t="s">
        <v>560</v>
      </c>
    </row>
    <row r="8" spans="1:23" ht="13.5" thickBot="1">
      <c r="A8" s="165"/>
      <c r="B8" s="145"/>
      <c r="C8" s="267"/>
      <c r="D8" s="169"/>
      <c r="E8" s="1130"/>
      <c r="F8" s="1107"/>
      <c r="G8" s="1107"/>
      <c r="H8" s="1107"/>
      <c r="I8" s="1107"/>
      <c r="J8" s="1112"/>
      <c r="K8" s="1120"/>
      <c r="L8" s="1109"/>
      <c r="M8" s="226"/>
      <c r="N8" s="1123"/>
      <c r="O8" s="1107"/>
      <c r="P8" s="1107"/>
      <c r="Q8" s="1112"/>
      <c r="R8" s="1120"/>
      <c r="S8" s="1109"/>
      <c r="T8" s="225"/>
      <c r="U8" s="59">
        <v>2010</v>
      </c>
      <c r="V8" s="60" t="s">
        <v>561</v>
      </c>
      <c r="W8" s="1118"/>
    </row>
    <row r="9" spans="1:23" ht="12" customHeight="1" thickBot="1" thickTop="1">
      <c r="A9" s="582">
        <v>1</v>
      </c>
      <c r="B9" s="678" t="s">
        <v>453</v>
      </c>
      <c r="C9" s="679"/>
      <c r="D9" s="655"/>
      <c r="E9" s="655"/>
      <c r="F9" s="696"/>
      <c r="G9" s="696"/>
      <c r="H9" s="697">
        <f>H11+H15+H20+H25+H29+H32+H39+H46+H50</f>
        <v>197.7</v>
      </c>
      <c r="I9" s="697">
        <f>I11+I15+I20+I25+I29+I32+I39+I46</f>
        <v>0</v>
      </c>
      <c r="J9" s="698">
        <f>J11+J15+J20+J25+J29+J32+J39+J46</f>
        <v>0</v>
      </c>
      <c r="K9" s="699">
        <f>K11+K15+K20+K25+K29+K32+K39+K46+K50</f>
        <v>197.7</v>
      </c>
      <c r="L9" s="700">
        <f>L11+L15+L20+L25+L29+L32+L39+L46+L50</f>
        <v>199.7</v>
      </c>
      <c r="M9" s="701"/>
      <c r="N9" s="700"/>
      <c r="O9" s="697"/>
      <c r="P9" s="697"/>
      <c r="Q9" s="698"/>
      <c r="R9" s="699">
        <f>R11+R15+R20+R25+R29+R32+R39+R46+R50</f>
        <v>0</v>
      </c>
      <c r="S9" s="700">
        <f>S11+S15+S20+S25+S29+S32+S39+S46+S50</f>
        <v>0</v>
      </c>
      <c r="T9" s="702"/>
      <c r="U9" s="703">
        <f>U11+U15+U20+U25+U29+U32+U39+U46+U50</f>
        <v>197.7</v>
      </c>
      <c r="V9" s="703">
        <f>V11+V15+V20+V25+V29+V32+V39+V46+V50</f>
        <v>199.7</v>
      </c>
      <c r="W9" s="703">
        <f>+V9/U9*100</f>
        <v>101.01163378856855</v>
      </c>
    </row>
    <row r="10" spans="1:23" ht="10.5" customHeight="1" thickTop="1">
      <c r="A10" s="171">
        <f>A9+1</f>
        <v>2</v>
      </c>
      <c r="B10" s="379">
        <v>1</v>
      </c>
      <c r="C10" s="380" t="s">
        <v>111</v>
      </c>
      <c r="D10" s="381"/>
      <c r="E10" s="381"/>
      <c r="F10" s="690"/>
      <c r="G10" s="690"/>
      <c r="H10" s="690"/>
      <c r="I10" s="690"/>
      <c r="J10" s="691"/>
      <c r="K10" s="692"/>
      <c r="L10" s="693"/>
      <c r="M10" s="196"/>
      <c r="N10" s="694"/>
      <c r="O10" s="690"/>
      <c r="P10" s="690"/>
      <c r="Q10" s="691"/>
      <c r="R10" s="692"/>
      <c r="S10" s="693"/>
      <c r="T10" s="187"/>
      <c r="U10" s="695"/>
      <c r="V10" s="695"/>
      <c r="W10" s="695"/>
    </row>
    <row r="11" spans="1:23" ht="10.5" customHeight="1">
      <c r="A11" s="172">
        <f aca="true" t="shared" si="0" ref="A11:A56">A10+1</f>
        <v>3</v>
      </c>
      <c r="B11" s="173"/>
      <c r="C11" s="174" t="s">
        <v>88</v>
      </c>
      <c r="D11" s="175"/>
      <c r="E11" s="175"/>
      <c r="F11" s="176"/>
      <c r="G11" s="176"/>
      <c r="H11" s="176">
        <f>H12</f>
        <v>9.2</v>
      </c>
      <c r="I11" s="176"/>
      <c r="J11" s="177"/>
      <c r="K11" s="180">
        <f>SUM(F11:J11)</f>
        <v>9.2</v>
      </c>
      <c r="L11" s="229">
        <f>+L12</f>
        <v>2.5999999999999996</v>
      </c>
      <c r="M11" s="196"/>
      <c r="N11" s="179"/>
      <c r="O11" s="176"/>
      <c r="P11" s="176"/>
      <c r="Q11" s="177"/>
      <c r="R11" s="180">
        <f>SUM(M11:Q11)</f>
        <v>0</v>
      </c>
      <c r="S11" s="229">
        <f>+S12</f>
        <v>0</v>
      </c>
      <c r="T11" s="187"/>
      <c r="U11" s="277">
        <f>K11+R11</f>
        <v>9.2</v>
      </c>
      <c r="V11" s="277">
        <f>L11+S11</f>
        <v>2.5999999999999996</v>
      </c>
      <c r="W11" s="277">
        <f aca="true" t="shared" si="1" ref="W11:W56">+V11/U11*100</f>
        <v>28.26086956521739</v>
      </c>
    </row>
    <row r="12" spans="1:23" ht="10.5" customHeight="1">
      <c r="A12" s="172">
        <f t="shared" si="0"/>
        <v>4</v>
      </c>
      <c r="B12" s="181"/>
      <c r="C12" s="182" t="s">
        <v>71</v>
      </c>
      <c r="D12" s="183" t="s">
        <v>25</v>
      </c>
      <c r="E12" s="184"/>
      <c r="F12" s="185"/>
      <c r="G12" s="185"/>
      <c r="H12" s="185">
        <f>SUM(H13:H14)</f>
        <v>9.2</v>
      </c>
      <c r="I12" s="185"/>
      <c r="J12" s="186"/>
      <c r="K12" s="234">
        <f aca="true" t="shared" si="2" ref="K12:K56">SUM(F12:J12)</f>
        <v>9.2</v>
      </c>
      <c r="L12" s="230">
        <f>SUM(L13:L14)</f>
        <v>2.5999999999999996</v>
      </c>
      <c r="M12" s="196"/>
      <c r="N12" s="188"/>
      <c r="O12" s="185"/>
      <c r="P12" s="185"/>
      <c r="Q12" s="186"/>
      <c r="R12" s="234">
        <f aca="true" t="shared" si="3" ref="R12:R18">SUM(M12:Q12)</f>
        <v>0</v>
      </c>
      <c r="S12" s="230">
        <f>SUM(S13:S14)</f>
        <v>0</v>
      </c>
      <c r="T12" s="187"/>
      <c r="U12" s="313">
        <f aca="true" t="shared" si="4" ref="U12:U56">K12+R12</f>
        <v>9.2</v>
      </c>
      <c r="V12" s="313">
        <f aca="true" t="shared" si="5" ref="V12:V56">L12+S12</f>
        <v>2.5999999999999996</v>
      </c>
      <c r="W12" s="313">
        <f t="shared" si="1"/>
        <v>28.26086956521739</v>
      </c>
    </row>
    <row r="13" spans="1:23" ht="10.5" customHeight="1">
      <c r="A13" s="172">
        <f t="shared" si="0"/>
        <v>5</v>
      </c>
      <c r="B13" s="181"/>
      <c r="C13" s="190"/>
      <c r="D13" s="191" t="s">
        <v>21</v>
      </c>
      <c r="E13" s="201" t="s">
        <v>455</v>
      </c>
      <c r="F13" s="193"/>
      <c r="G13" s="193"/>
      <c r="H13" s="194">
        <v>8</v>
      </c>
      <c r="I13" s="193"/>
      <c r="J13" s="195"/>
      <c r="K13" s="235">
        <f t="shared" si="2"/>
        <v>8</v>
      </c>
      <c r="L13" s="350">
        <v>1.9</v>
      </c>
      <c r="M13" s="196"/>
      <c r="N13" s="197"/>
      <c r="O13" s="193"/>
      <c r="P13" s="193"/>
      <c r="Q13" s="195"/>
      <c r="R13" s="235">
        <f t="shared" si="3"/>
        <v>0</v>
      </c>
      <c r="S13" s="350">
        <f>SUM(M13:Q13)</f>
        <v>0</v>
      </c>
      <c r="T13" s="196"/>
      <c r="U13" s="351">
        <f t="shared" si="4"/>
        <v>8</v>
      </c>
      <c r="V13" s="351">
        <f t="shared" si="5"/>
        <v>1.9</v>
      </c>
      <c r="W13" s="351">
        <f t="shared" si="1"/>
        <v>23.75</v>
      </c>
    </row>
    <row r="14" spans="1:23" ht="10.5" customHeight="1">
      <c r="A14" s="172">
        <f t="shared" si="0"/>
        <v>6</v>
      </c>
      <c r="B14" s="181"/>
      <c r="C14" s="190"/>
      <c r="D14" s="191" t="s">
        <v>22</v>
      </c>
      <c r="E14" s="201" t="s">
        <v>35</v>
      </c>
      <c r="F14" s="193"/>
      <c r="G14" s="193"/>
      <c r="H14" s="194">
        <v>1.2</v>
      </c>
      <c r="I14" s="193"/>
      <c r="J14" s="195"/>
      <c r="K14" s="235">
        <f t="shared" si="2"/>
        <v>1.2</v>
      </c>
      <c r="L14" s="350">
        <v>0.7</v>
      </c>
      <c r="M14" s="196"/>
      <c r="N14" s="197"/>
      <c r="O14" s="193"/>
      <c r="P14" s="193"/>
      <c r="Q14" s="195"/>
      <c r="R14" s="235">
        <f t="shared" si="3"/>
        <v>0</v>
      </c>
      <c r="S14" s="350">
        <f>SUM(M14:Q14)</f>
        <v>0</v>
      </c>
      <c r="T14" s="196"/>
      <c r="U14" s="351">
        <f t="shared" si="4"/>
        <v>1.2</v>
      </c>
      <c r="V14" s="351">
        <f t="shared" si="5"/>
        <v>0.7</v>
      </c>
      <c r="W14" s="351">
        <f t="shared" si="1"/>
        <v>58.333333333333336</v>
      </c>
    </row>
    <row r="15" spans="1:23" ht="10.5" customHeight="1">
      <c r="A15" s="172">
        <f t="shared" si="0"/>
        <v>7</v>
      </c>
      <c r="B15" s="173">
        <v>2</v>
      </c>
      <c r="C15" s="174" t="s">
        <v>68</v>
      </c>
      <c r="D15" s="175"/>
      <c r="E15" s="175"/>
      <c r="F15" s="176"/>
      <c r="G15" s="176"/>
      <c r="H15" s="176">
        <f>H16</f>
        <v>20.5</v>
      </c>
      <c r="I15" s="176"/>
      <c r="J15" s="177"/>
      <c r="K15" s="180">
        <f t="shared" si="2"/>
        <v>20.5</v>
      </c>
      <c r="L15" s="229">
        <f>+L16</f>
        <v>26.9</v>
      </c>
      <c r="M15" s="178"/>
      <c r="N15" s="179"/>
      <c r="O15" s="176"/>
      <c r="P15" s="176"/>
      <c r="Q15" s="177"/>
      <c r="R15" s="180">
        <f t="shared" si="3"/>
        <v>0</v>
      </c>
      <c r="S15" s="229">
        <f>+S16</f>
        <v>0</v>
      </c>
      <c r="T15" s="178"/>
      <c r="U15" s="277">
        <f t="shared" si="4"/>
        <v>20.5</v>
      </c>
      <c r="V15" s="277">
        <f t="shared" si="5"/>
        <v>26.9</v>
      </c>
      <c r="W15" s="277">
        <f t="shared" si="1"/>
        <v>131.21951219512192</v>
      </c>
    </row>
    <row r="16" spans="1:23" ht="10.5" customHeight="1">
      <c r="A16" s="172">
        <f t="shared" si="0"/>
        <v>8</v>
      </c>
      <c r="B16" s="352"/>
      <c r="C16" s="182" t="s">
        <v>71</v>
      </c>
      <c r="D16" s="183" t="s">
        <v>25</v>
      </c>
      <c r="E16" s="184"/>
      <c r="F16" s="185"/>
      <c r="G16" s="185"/>
      <c r="H16" s="185">
        <f>SUM(H17:H18)</f>
        <v>20.5</v>
      </c>
      <c r="I16" s="185"/>
      <c r="J16" s="186"/>
      <c r="K16" s="234">
        <f t="shared" si="2"/>
        <v>20.5</v>
      </c>
      <c r="L16" s="230">
        <f>SUM(L17:L18)</f>
        <v>26.9</v>
      </c>
      <c r="M16" s="178"/>
      <c r="N16" s="353"/>
      <c r="O16" s="185"/>
      <c r="P16" s="354"/>
      <c r="Q16" s="355"/>
      <c r="R16" s="234">
        <f t="shared" si="3"/>
        <v>0</v>
      </c>
      <c r="S16" s="230">
        <f>SUM(S17:S18)</f>
        <v>0</v>
      </c>
      <c r="T16" s="178"/>
      <c r="U16" s="313">
        <f t="shared" si="4"/>
        <v>20.5</v>
      </c>
      <c r="V16" s="313">
        <f t="shared" si="5"/>
        <v>26.9</v>
      </c>
      <c r="W16" s="313">
        <f t="shared" si="1"/>
        <v>131.21951219512192</v>
      </c>
    </row>
    <row r="17" spans="1:23" s="250" customFormat="1" ht="10.5" customHeight="1">
      <c r="A17" s="172">
        <f t="shared" si="0"/>
        <v>9</v>
      </c>
      <c r="B17" s="352"/>
      <c r="C17" s="356"/>
      <c r="D17" s="200">
        <v>1</v>
      </c>
      <c r="E17" s="357" t="s">
        <v>42</v>
      </c>
      <c r="F17" s="193"/>
      <c r="G17" s="193"/>
      <c r="H17" s="358">
        <v>17.2</v>
      </c>
      <c r="I17" s="359"/>
      <c r="J17" s="360"/>
      <c r="K17" s="361">
        <f t="shared" si="2"/>
        <v>17.2</v>
      </c>
      <c r="L17" s="350">
        <v>24.4</v>
      </c>
      <c r="M17" s="178"/>
      <c r="N17" s="362"/>
      <c r="O17" s="359"/>
      <c r="P17" s="359"/>
      <c r="Q17" s="360"/>
      <c r="R17" s="361">
        <f t="shared" si="3"/>
        <v>0</v>
      </c>
      <c r="S17" s="350">
        <f>SUM(M17:Q17)</f>
        <v>0</v>
      </c>
      <c r="T17" s="178"/>
      <c r="U17" s="351">
        <f t="shared" si="4"/>
        <v>17.2</v>
      </c>
      <c r="V17" s="351">
        <f t="shared" si="5"/>
        <v>24.4</v>
      </c>
      <c r="W17" s="351">
        <f t="shared" si="1"/>
        <v>141.86046511627907</v>
      </c>
    </row>
    <row r="18" spans="1:23" s="250" customFormat="1" ht="10.5" customHeight="1">
      <c r="A18" s="172">
        <f t="shared" si="0"/>
        <v>10</v>
      </c>
      <c r="B18" s="352"/>
      <c r="C18" s="356"/>
      <c r="D18" s="200">
        <v>2</v>
      </c>
      <c r="E18" s="357" t="s">
        <v>286</v>
      </c>
      <c r="F18" s="193"/>
      <c r="G18" s="193"/>
      <c r="H18" s="194">
        <v>3.3</v>
      </c>
      <c r="I18" s="359"/>
      <c r="J18" s="360"/>
      <c r="K18" s="361">
        <f t="shared" si="2"/>
        <v>3.3</v>
      </c>
      <c r="L18" s="350">
        <v>2.5</v>
      </c>
      <c r="M18" s="178"/>
      <c r="N18" s="362"/>
      <c r="O18" s="359"/>
      <c r="P18" s="359"/>
      <c r="Q18" s="360"/>
      <c r="R18" s="361">
        <f t="shared" si="3"/>
        <v>0</v>
      </c>
      <c r="S18" s="350">
        <f>SUM(M18:Q18)</f>
        <v>0</v>
      </c>
      <c r="T18" s="178"/>
      <c r="U18" s="351">
        <f t="shared" si="4"/>
        <v>3.3</v>
      </c>
      <c r="V18" s="351">
        <f t="shared" si="5"/>
        <v>2.5</v>
      </c>
      <c r="W18" s="351">
        <f t="shared" si="1"/>
        <v>75.75757575757575</v>
      </c>
    </row>
    <row r="19" spans="1:23" ht="10.5" customHeight="1">
      <c r="A19" s="172">
        <f t="shared" si="0"/>
        <v>11</v>
      </c>
      <c r="B19" s="173">
        <v>3</v>
      </c>
      <c r="C19" s="174" t="s">
        <v>75</v>
      </c>
      <c r="D19" s="175"/>
      <c r="E19" s="175"/>
      <c r="F19" s="202"/>
      <c r="G19" s="202"/>
      <c r="H19" s="202"/>
      <c r="I19" s="202"/>
      <c r="J19" s="203"/>
      <c r="K19" s="206"/>
      <c r="L19" s="232"/>
      <c r="M19" s="204"/>
      <c r="N19" s="205"/>
      <c r="O19" s="202"/>
      <c r="P19" s="202"/>
      <c r="Q19" s="203"/>
      <c r="R19" s="206"/>
      <c r="S19" s="232"/>
      <c r="T19" s="204"/>
      <c r="U19" s="349"/>
      <c r="V19" s="349"/>
      <c r="W19" s="349"/>
    </row>
    <row r="20" spans="1:23" ht="10.5" customHeight="1">
      <c r="A20" s="172">
        <f t="shared" si="0"/>
        <v>12</v>
      </c>
      <c r="B20" s="173"/>
      <c r="C20" s="174" t="s">
        <v>285</v>
      </c>
      <c r="D20" s="175"/>
      <c r="E20" s="175"/>
      <c r="F20" s="176"/>
      <c r="G20" s="176"/>
      <c r="H20" s="176">
        <f>H21</f>
        <v>6.1</v>
      </c>
      <c r="I20" s="176"/>
      <c r="J20" s="177"/>
      <c r="K20" s="180">
        <f t="shared" si="2"/>
        <v>6.1</v>
      </c>
      <c r="L20" s="229">
        <f>+L21</f>
        <v>6.3</v>
      </c>
      <c r="M20" s="178"/>
      <c r="N20" s="179"/>
      <c r="O20" s="176"/>
      <c r="P20" s="176"/>
      <c r="Q20" s="177"/>
      <c r="R20" s="180">
        <f aca="true" t="shared" si="6" ref="R20:R56">SUM(M20:Q20)</f>
        <v>0</v>
      </c>
      <c r="S20" s="229">
        <f>+S21</f>
        <v>0</v>
      </c>
      <c r="T20" s="178"/>
      <c r="U20" s="277">
        <f t="shared" si="4"/>
        <v>6.1</v>
      </c>
      <c r="V20" s="277">
        <f t="shared" si="5"/>
        <v>6.3</v>
      </c>
      <c r="W20" s="277">
        <f t="shared" si="1"/>
        <v>103.27868852459017</v>
      </c>
    </row>
    <row r="21" spans="1:23" ht="10.5" customHeight="1">
      <c r="A21" s="172">
        <f t="shared" si="0"/>
        <v>13</v>
      </c>
      <c r="B21" s="181"/>
      <c r="C21" s="182" t="s">
        <v>71</v>
      </c>
      <c r="D21" s="183" t="s">
        <v>25</v>
      </c>
      <c r="E21" s="183"/>
      <c r="F21" s="280"/>
      <c r="G21" s="280"/>
      <c r="H21" s="280">
        <f>SUM(H22:H24)</f>
        <v>6.1</v>
      </c>
      <c r="I21" s="280"/>
      <c r="J21" s="281"/>
      <c r="K21" s="189">
        <f t="shared" si="2"/>
        <v>6.1</v>
      </c>
      <c r="L21" s="230">
        <f>SUM(L22:L24)</f>
        <v>6.3</v>
      </c>
      <c r="M21" s="363"/>
      <c r="N21" s="364"/>
      <c r="O21" s="280"/>
      <c r="P21" s="280"/>
      <c r="Q21" s="281"/>
      <c r="R21" s="189">
        <f t="shared" si="6"/>
        <v>0</v>
      </c>
      <c r="S21" s="230">
        <f>SUM(S22:S24)</f>
        <v>0</v>
      </c>
      <c r="T21" s="363"/>
      <c r="U21" s="313">
        <f t="shared" si="4"/>
        <v>6.1</v>
      </c>
      <c r="V21" s="313">
        <f t="shared" si="5"/>
        <v>6.3</v>
      </c>
      <c r="W21" s="313">
        <f t="shared" si="1"/>
        <v>103.27868852459017</v>
      </c>
    </row>
    <row r="22" spans="1:23" ht="10.5" customHeight="1">
      <c r="A22" s="172">
        <f t="shared" si="0"/>
        <v>14</v>
      </c>
      <c r="B22" s="181"/>
      <c r="C22" s="190"/>
      <c r="D22" s="191" t="s">
        <v>21</v>
      </c>
      <c r="E22" s="201" t="s">
        <v>36</v>
      </c>
      <c r="F22" s="365"/>
      <c r="G22" s="365"/>
      <c r="H22" s="311">
        <v>3</v>
      </c>
      <c r="I22" s="365"/>
      <c r="J22" s="366"/>
      <c r="K22" s="367">
        <f t="shared" si="2"/>
        <v>3</v>
      </c>
      <c r="L22" s="350">
        <v>3.4</v>
      </c>
      <c r="M22" s="204"/>
      <c r="N22" s="368"/>
      <c r="O22" s="365"/>
      <c r="P22" s="365"/>
      <c r="Q22" s="366"/>
      <c r="R22" s="367">
        <f t="shared" si="6"/>
        <v>0</v>
      </c>
      <c r="S22" s="350">
        <f>SUM(M22:Q22)</f>
        <v>0</v>
      </c>
      <c r="T22" s="204"/>
      <c r="U22" s="351">
        <f t="shared" si="4"/>
        <v>3</v>
      </c>
      <c r="V22" s="351">
        <f t="shared" si="5"/>
        <v>3.4</v>
      </c>
      <c r="W22" s="351">
        <f t="shared" si="1"/>
        <v>113.33333333333333</v>
      </c>
    </row>
    <row r="23" spans="1:23" ht="10.5" customHeight="1">
      <c r="A23" s="172">
        <f t="shared" si="0"/>
        <v>15</v>
      </c>
      <c r="B23" s="181"/>
      <c r="C23" s="190"/>
      <c r="D23" s="191" t="s">
        <v>22</v>
      </c>
      <c r="E23" s="192" t="s">
        <v>37</v>
      </c>
      <c r="F23" s="365"/>
      <c r="G23" s="365"/>
      <c r="H23" s="311">
        <v>2.1</v>
      </c>
      <c r="I23" s="365"/>
      <c r="J23" s="366"/>
      <c r="K23" s="367">
        <f t="shared" si="2"/>
        <v>2.1</v>
      </c>
      <c r="L23" s="350">
        <v>2.1</v>
      </c>
      <c r="M23" s="204"/>
      <c r="N23" s="368"/>
      <c r="O23" s="365"/>
      <c r="P23" s="365"/>
      <c r="Q23" s="366"/>
      <c r="R23" s="367">
        <f t="shared" si="6"/>
        <v>0</v>
      </c>
      <c r="S23" s="350">
        <f>SUM(M23:Q23)</f>
        <v>0</v>
      </c>
      <c r="T23" s="204"/>
      <c r="U23" s="351">
        <f t="shared" si="4"/>
        <v>2.1</v>
      </c>
      <c r="V23" s="351">
        <f t="shared" si="5"/>
        <v>2.1</v>
      </c>
      <c r="W23" s="351">
        <f t="shared" si="1"/>
        <v>100</v>
      </c>
    </row>
    <row r="24" spans="1:23" ht="10.5" customHeight="1">
      <c r="A24" s="172">
        <f t="shared" si="0"/>
        <v>16</v>
      </c>
      <c r="B24" s="181"/>
      <c r="C24" s="190"/>
      <c r="D24" s="191" t="s">
        <v>23</v>
      </c>
      <c r="E24" s="192" t="s">
        <v>76</v>
      </c>
      <c r="F24" s="365"/>
      <c r="G24" s="365"/>
      <c r="H24" s="311">
        <v>1</v>
      </c>
      <c r="I24" s="365"/>
      <c r="J24" s="366"/>
      <c r="K24" s="367">
        <f t="shared" si="2"/>
        <v>1</v>
      </c>
      <c r="L24" s="350">
        <v>0.8</v>
      </c>
      <c r="M24" s="204"/>
      <c r="N24" s="368"/>
      <c r="O24" s="365"/>
      <c r="P24" s="365"/>
      <c r="Q24" s="366"/>
      <c r="R24" s="367">
        <f t="shared" si="6"/>
        <v>0</v>
      </c>
      <c r="S24" s="350">
        <f>SUM(M24:Q24)</f>
        <v>0</v>
      </c>
      <c r="T24" s="204"/>
      <c r="U24" s="351">
        <f t="shared" si="4"/>
        <v>1</v>
      </c>
      <c r="V24" s="351">
        <f t="shared" si="5"/>
        <v>0.8</v>
      </c>
      <c r="W24" s="351">
        <f t="shared" si="1"/>
        <v>80</v>
      </c>
    </row>
    <row r="25" spans="1:23" ht="10.5" customHeight="1">
      <c r="A25" s="172">
        <f t="shared" si="0"/>
        <v>17</v>
      </c>
      <c r="B25" s="173">
        <v>4</v>
      </c>
      <c r="C25" s="174" t="s">
        <v>98</v>
      </c>
      <c r="D25" s="175"/>
      <c r="E25" s="175"/>
      <c r="F25" s="176"/>
      <c r="G25" s="176"/>
      <c r="H25" s="176">
        <f>H26</f>
        <v>40</v>
      </c>
      <c r="I25" s="176"/>
      <c r="J25" s="177"/>
      <c r="K25" s="180">
        <f t="shared" si="2"/>
        <v>40</v>
      </c>
      <c r="L25" s="229">
        <f>+L26</f>
        <v>41</v>
      </c>
      <c r="M25" s="178"/>
      <c r="N25" s="179"/>
      <c r="O25" s="176"/>
      <c r="P25" s="176"/>
      <c r="Q25" s="177"/>
      <c r="R25" s="180">
        <f t="shared" si="6"/>
        <v>0</v>
      </c>
      <c r="S25" s="229">
        <f>+S26</f>
        <v>0</v>
      </c>
      <c r="T25" s="178"/>
      <c r="U25" s="277">
        <f t="shared" si="4"/>
        <v>40</v>
      </c>
      <c r="V25" s="277">
        <f t="shared" si="5"/>
        <v>41</v>
      </c>
      <c r="W25" s="277">
        <f t="shared" si="1"/>
        <v>102.49999999999999</v>
      </c>
    </row>
    <row r="26" spans="1:23" ht="10.5" customHeight="1">
      <c r="A26" s="172">
        <f t="shared" si="0"/>
        <v>18</v>
      </c>
      <c r="B26" s="181"/>
      <c r="C26" s="182" t="s">
        <v>71</v>
      </c>
      <c r="D26" s="183" t="s">
        <v>467</v>
      </c>
      <c r="E26" s="183"/>
      <c r="F26" s="280"/>
      <c r="G26" s="280"/>
      <c r="H26" s="280">
        <f>SUM(H27:H28)</f>
        <v>40</v>
      </c>
      <c r="I26" s="280"/>
      <c r="J26" s="281"/>
      <c r="K26" s="189">
        <f t="shared" si="2"/>
        <v>40</v>
      </c>
      <c r="L26" s="230">
        <f>SUM(L27:L28)</f>
        <v>41</v>
      </c>
      <c r="M26" s="363"/>
      <c r="N26" s="364"/>
      <c r="O26" s="280"/>
      <c r="P26" s="280"/>
      <c r="Q26" s="281"/>
      <c r="R26" s="189">
        <f t="shared" si="6"/>
        <v>0</v>
      </c>
      <c r="S26" s="230">
        <f>SUM(S27:S28)</f>
        <v>0</v>
      </c>
      <c r="T26" s="363"/>
      <c r="U26" s="313">
        <f t="shared" si="4"/>
        <v>40</v>
      </c>
      <c r="V26" s="313">
        <f t="shared" si="5"/>
        <v>41</v>
      </c>
      <c r="W26" s="313">
        <f t="shared" si="1"/>
        <v>102.49999999999999</v>
      </c>
    </row>
    <row r="27" spans="1:23" s="211" customFormat="1" ht="10.5" customHeight="1">
      <c r="A27" s="172">
        <f t="shared" si="0"/>
        <v>19</v>
      </c>
      <c r="B27" s="181"/>
      <c r="C27" s="190"/>
      <c r="D27" s="191" t="s">
        <v>21</v>
      </c>
      <c r="E27" s="369" t="s">
        <v>172</v>
      </c>
      <c r="F27" s="193"/>
      <c r="G27" s="193"/>
      <c r="H27" s="194">
        <v>7</v>
      </c>
      <c r="I27" s="193"/>
      <c r="J27" s="195"/>
      <c r="K27" s="235">
        <f t="shared" si="2"/>
        <v>7</v>
      </c>
      <c r="L27" s="350">
        <v>1.6</v>
      </c>
      <c r="M27" s="196"/>
      <c r="N27" s="197"/>
      <c r="O27" s="193"/>
      <c r="P27" s="193"/>
      <c r="Q27" s="195"/>
      <c r="R27" s="235">
        <f t="shared" si="6"/>
        <v>0</v>
      </c>
      <c r="S27" s="350">
        <f>SUM(M27:Q27)</f>
        <v>0</v>
      </c>
      <c r="T27" s="196"/>
      <c r="U27" s="351">
        <f t="shared" si="4"/>
        <v>7</v>
      </c>
      <c r="V27" s="351">
        <f t="shared" si="5"/>
        <v>1.6</v>
      </c>
      <c r="W27" s="351">
        <f t="shared" si="1"/>
        <v>22.857142857142858</v>
      </c>
    </row>
    <row r="28" spans="1:23" s="211" customFormat="1" ht="10.5" customHeight="1">
      <c r="A28" s="172">
        <f t="shared" si="0"/>
        <v>20</v>
      </c>
      <c r="B28" s="181"/>
      <c r="C28" s="190"/>
      <c r="D28" s="191" t="s">
        <v>22</v>
      </c>
      <c r="E28" s="369" t="s">
        <v>173</v>
      </c>
      <c r="F28" s="193"/>
      <c r="G28" s="193"/>
      <c r="H28" s="370">
        <v>33</v>
      </c>
      <c r="I28" s="193"/>
      <c r="J28" s="195"/>
      <c r="K28" s="235">
        <f t="shared" si="2"/>
        <v>33</v>
      </c>
      <c r="L28" s="350">
        <v>39.4</v>
      </c>
      <c r="M28" s="196"/>
      <c r="N28" s="197"/>
      <c r="O28" s="193"/>
      <c r="P28" s="193"/>
      <c r="Q28" s="195"/>
      <c r="R28" s="235">
        <f t="shared" si="6"/>
        <v>0</v>
      </c>
      <c r="S28" s="350">
        <f>SUM(M28:Q28)</f>
        <v>0</v>
      </c>
      <c r="T28" s="196"/>
      <c r="U28" s="351">
        <f t="shared" si="4"/>
        <v>33</v>
      </c>
      <c r="V28" s="351">
        <f t="shared" si="5"/>
        <v>39.4</v>
      </c>
      <c r="W28" s="351">
        <f t="shared" si="1"/>
        <v>119.39393939393939</v>
      </c>
    </row>
    <row r="29" spans="1:23" ht="10.5" customHeight="1">
      <c r="A29" s="172">
        <f t="shared" si="0"/>
        <v>21</v>
      </c>
      <c r="B29" s="173">
        <v>5</v>
      </c>
      <c r="C29" s="174" t="s">
        <v>104</v>
      </c>
      <c r="D29" s="175"/>
      <c r="E29" s="175"/>
      <c r="F29" s="176"/>
      <c r="G29" s="176"/>
      <c r="H29" s="176">
        <f>H30</f>
        <v>1.5</v>
      </c>
      <c r="I29" s="176"/>
      <c r="J29" s="177"/>
      <c r="K29" s="180">
        <f t="shared" si="2"/>
        <v>1.5</v>
      </c>
      <c r="L29" s="229">
        <f>+L30</f>
        <v>1.2</v>
      </c>
      <c r="M29" s="178"/>
      <c r="N29" s="179"/>
      <c r="O29" s="176"/>
      <c r="P29" s="176"/>
      <c r="Q29" s="177"/>
      <c r="R29" s="180">
        <f t="shared" si="6"/>
        <v>0</v>
      </c>
      <c r="S29" s="229">
        <f>+S30</f>
        <v>0</v>
      </c>
      <c r="T29" s="178"/>
      <c r="U29" s="277">
        <f t="shared" si="4"/>
        <v>1.5</v>
      </c>
      <c r="V29" s="277">
        <f t="shared" si="5"/>
        <v>1.2</v>
      </c>
      <c r="W29" s="277">
        <f t="shared" si="1"/>
        <v>80</v>
      </c>
    </row>
    <row r="30" spans="1:23" ht="10.5" customHeight="1">
      <c r="A30" s="172">
        <f t="shared" si="0"/>
        <v>22</v>
      </c>
      <c r="B30" s="181"/>
      <c r="C30" s="182" t="s">
        <v>71</v>
      </c>
      <c r="D30" s="183" t="s">
        <v>467</v>
      </c>
      <c r="E30" s="183"/>
      <c r="F30" s="280"/>
      <c r="G30" s="280"/>
      <c r="H30" s="280">
        <f>H31</f>
        <v>1.5</v>
      </c>
      <c r="I30" s="371"/>
      <c r="J30" s="372"/>
      <c r="K30" s="373">
        <f t="shared" si="2"/>
        <v>1.5</v>
      </c>
      <c r="L30" s="230">
        <f>+L31</f>
        <v>1.2</v>
      </c>
      <c r="M30" s="363"/>
      <c r="N30" s="374"/>
      <c r="O30" s="371"/>
      <c r="P30" s="371"/>
      <c r="Q30" s="372"/>
      <c r="R30" s="373">
        <f t="shared" si="6"/>
        <v>0</v>
      </c>
      <c r="S30" s="230">
        <f>+S31</f>
        <v>0</v>
      </c>
      <c r="T30" s="375"/>
      <c r="U30" s="282">
        <f t="shared" si="4"/>
        <v>1.5</v>
      </c>
      <c r="V30" s="282">
        <f t="shared" si="5"/>
        <v>1.2</v>
      </c>
      <c r="W30" s="282">
        <f t="shared" si="1"/>
        <v>80</v>
      </c>
    </row>
    <row r="31" spans="1:23" ht="10.5" customHeight="1">
      <c r="A31" s="172">
        <f t="shared" si="0"/>
        <v>23</v>
      </c>
      <c r="B31" s="181"/>
      <c r="C31" s="190"/>
      <c r="D31" s="191" t="s">
        <v>21</v>
      </c>
      <c r="E31" s="192" t="s">
        <v>43</v>
      </c>
      <c r="F31" s="193"/>
      <c r="G31" s="193"/>
      <c r="H31" s="194">
        <v>1.5</v>
      </c>
      <c r="I31" s="193"/>
      <c r="J31" s="195"/>
      <c r="K31" s="235">
        <f t="shared" si="2"/>
        <v>1.5</v>
      </c>
      <c r="L31" s="350">
        <v>1.2</v>
      </c>
      <c r="M31" s="196"/>
      <c r="N31" s="197"/>
      <c r="O31" s="193"/>
      <c r="P31" s="193"/>
      <c r="Q31" s="195"/>
      <c r="R31" s="235">
        <f t="shared" si="6"/>
        <v>0</v>
      </c>
      <c r="S31" s="350">
        <f>SUM(M31:Q31)</f>
        <v>0</v>
      </c>
      <c r="T31" s="196"/>
      <c r="U31" s="351">
        <f t="shared" si="4"/>
        <v>1.5</v>
      </c>
      <c r="V31" s="351">
        <f t="shared" si="5"/>
        <v>1.2</v>
      </c>
      <c r="W31" s="351">
        <f t="shared" si="1"/>
        <v>80</v>
      </c>
    </row>
    <row r="32" spans="1:23" ht="10.5" customHeight="1">
      <c r="A32" s="172">
        <f t="shared" si="0"/>
        <v>24</v>
      </c>
      <c r="B32" s="173">
        <v>6</v>
      </c>
      <c r="C32" s="174" t="s">
        <v>69</v>
      </c>
      <c r="D32" s="175"/>
      <c r="E32" s="175"/>
      <c r="F32" s="176"/>
      <c r="G32" s="176"/>
      <c r="H32" s="176">
        <f>H33</f>
        <v>11.5</v>
      </c>
      <c r="I32" s="176"/>
      <c r="J32" s="177"/>
      <c r="K32" s="180">
        <f t="shared" si="2"/>
        <v>11.5</v>
      </c>
      <c r="L32" s="229">
        <f>+L33</f>
        <v>10</v>
      </c>
      <c r="M32" s="178"/>
      <c r="N32" s="179"/>
      <c r="O32" s="176"/>
      <c r="P32" s="176"/>
      <c r="Q32" s="177"/>
      <c r="R32" s="180">
        <f t="shared" si="6"/>
        <v>0</v>
      </c>
      <c r="S32" s="229">
        <f>+S33</f>
        <v>0</v>
      </c>
      <c r="T32" s="178"/>
      <c r="U32" s="277">
        <f t="shared" si="4"/>
        <v>11.5</v>
      </c>
      <c r="V32" s="277">
        <f t="shared" si="5"/>
        <v>10</v>
      </c>
      <c r="W32" s="277">
        <f t="shared" si="1"/>
        <v>86.95652173913044</v>
      </c>
    </row>
    <row r="33" spans="1:23" ht="10.5" customHeight="1">
      <c r="A33" s="172">
        <f t="shared" si="0"/>
        <v>25</v>
      </c>
      <c r="B33" s="181"/>
      <c r="C33" s="182" t="s">
        <v>71</v>
      </c>
      <c r="D33" s="183" t="s">
        <v>25</v>
      </c>
      <c r="E33" s="183"/>
      <c r="F33" s="185"/>
      <c r="G33" s="185"/>
      <c r="H33" s="185">
        <f>SUM(H34:H38)</f>
        <v>11.5</v>
      </c>
      <c r="I33" s="185"/>
      <c r="J33" s="186"/>
      <c r="K33" s="234">
        <f t="shared" si="2"/>
        <v>11.5</v>
      </c>
      <c r="L33" s="230">
        <f>SUM(L34:L38)</f>
        <v>10</v>
      </c>
      <c r="M33" s="187"/>
      <c r="N33" s="188"/>
      <c r="O33" s="185"/>
      <c r="P33" s="185"/>
      <c r="Q33" s="186"/>
      <c r="R33" s="234">
        <f t="shared" si="6"/>
        <v>0</v>
      </c>
      <c r="S33" s="230">
        <f>SUM(S34:S38)</f>
        <v>0</v>
      </c>
      <c r="T33" s="187"/>
      <c r="U33" s="282">
        <f t="shared" si="4"/>
        <v>11.5</v>
      </c>
      <c r="V33" s="282">
        <f t="shared" si="5"/>
        <v>10</v>
      </c>
      <c r="W33" s="282">
        <f t="shared" si="1"/>
        <v>86.95652173913044</v>
      </c>
    </row>
    <row r="34" spans="1:23" ht="10.5" customHeight="1">
      <c r="A34" s="172">
        <f t="shared" si="0"/>
        <v>26</v>
      </c>
      <c r="B34" s="181"/>
      <c r="C34" s="376"/>
      <c r="D34" s="191" t="s">
        <v>21</v>
      </c>
      <c r="E34" s="357" t="s">
        <v>320</v>
      </c>
      <c r="F34" s="193"/>
      <c r="G34" s="193"/>
      <c r="H34" s="194">
        <v>3</v>
      </c>
      <c r="I34" s="193"/>
      <c r="J34" s="195"/>
      <c r="K34" s="235">
        <f t="shared" si="2"/>
        <v>3</v>
      </c>
      <c r="L34" s="350">
        <v>2.8</v>
      </c>
      <c r="M34" s="196"/>
      <c r="N34" s="197"/>
      <c r="O34" s="193"/>
      <c r="P34" s="193"/>
      <c r="Q34" s="195"/>
      <c r="R34" s="235">
        <f t="shared" si="6"/>
        <v>0</v>
      </c>
      <c r="S34" s="350">
        <f>SUM(M34:Q34)</f>
        <v>0</v>
      </c>
      <c r="T34" s="196"/>
      <c r="U34" s="351">
        <f t="shared" si="4"/>
        <v>3</v>
      </c>
      <c r="V34" s="351">
        <f t="shared" si="5"/>
        <v>2.8</v>
      </c>
      <c r="W34" s="351">
        <f t="shared" si="1"/>
        <v>93.33333333333333</v>
      </c>
    </row>
    <row r="35" spans="1:23" ht="10.5" customHeight="1">
      <c r="A35" s="172">
        <f t="shared" si="0"/>
        <v>27</v>
      </c>
      <c r="B35" s="181"/>
      <c r="C35" s="376"/>
      <c r="D35" s="377">
        <f>D34+1</f>
        <v>2</v>
      </c>
      <c r="E35" s="201" t="s">
        <v>46</v>
      </c>
      <c r="F35" s="193"/>
      <c r="G35" s="193"/>
      <c r="H35" s="194">
        <v>0.5</v>
      </c>
      <c r="I35" s="193"/>
      <c r="J35" s="195"/>
      <c r="K35" s="235">
        <f t="shared" si="2"/>
        <v>0.5</v>
      </c>
      <c r="L35" s="350">
        <v>0.6</v>
      </c>
      <c r="M35" s="196"/>
      <c r="N35" s="197"/>
      <c r="O35" s="193"/>
      <c r="P35" s="193"/>
      <c r="Q35" s="195"/>
      <c r="R35" s="235">
        <f t="shared" si="6"/>
        <v>0</v>
      </c>
      <c r="S35" s="350">
        <f>SUM(M35:Q35)</f>
        <v>0</v>
      </c>
      <c r="T35" s="196"/>
      <c r="U35" s="351">
        <f t="shared" si="4"/>
        <v>0.5</v>
      </c>
      <c r="V35" s="351">
        <f t="shared" si="5"/>
        <v>0.6</v>
      </c>
      <c r="W35" s="351">
        <f t="shared" si="1"/>
        <v>120</v>
      </c>
    </row>
    <row r="36" spans="1:23" ht="10.5" customHeight="1">
      <c r="A36" s="172">
        <f t="shared" si="0"/>
        <v>28</v>
      </c>
      <c r="B36" s="181"/>
      <c r="C36" s="376"/>
      <c r="D36" s="377">
        <f>D35+1</f>
        <v>3</v>
      </c>
      <c r="E36" s="201" t="s">
        <v>523</v>
      </c>
      <c r="F36" s="193"/>
      <c r="G36" s="193"/>
      <c r="H36" s="194">
        <v>0.5</v>
      </c>
      <c r="I36" s="193"/>
      <c r="J36" s="195"/>
      <c r="K36" s="235">
        <f t="shared" si="2"/>
        <v>0.5</v>
      </c>
      <c r="L36" s="350">
        <v>0.5</v>
      </c>
      <c r="M36" s="196"/>
      <c r="N36" s="197"/>
      <c r="O36" s="193"/>
      <c r="P36" s="193"/>
      <c r="Q36" s="195"/>
      <c r="R36" s="235">
        <f t="shared" si="6"/>
        <v>0</v>
      </c>
      <c r="S36" s="350">
        <f>SUM(M36:Q36)</f>
        <v>0</v>
      </c>
      <c r="T36" s="196"/>
      <c r="U36" s="351">
        <f t="shared" si="4"/>
        <v>0.5</v>
      </c>
      <c r="V36" s="351">
        <f t="shared" si="5"/>
        <v>0.5</v>
      </c>
      <c r="W36" s="351">
        <f t="shared" si="1"/>
        <v>100</v>
      </c>
    </row>
    <row r="37" spans="1:23" ht="10.5" customHeight="1">
      <c r="A37" s="172">
        <f t="shared" si="0"/>
        <v>29</v>
      </c>
      <c r="B37" s="181"/>
      <c r="C37" s="376"/>
      <c r="D37" s="377">
        <f>D36+1</f>
        <v>4</v>
      </c>
      <c r="E37" s="201" t="s">
        <v>47</v>
      </c>
      <c r="F37" s="193"/>
      <c r="G37" s="193"/>
      <c r="H37" s="194">
        <v>6.5</v>
      </c>
      <c r="I37" s="193"/>
      <c r="J37" s="195"/>
      <c r="K37" s="235">
        <f t="shared" si="2"/>
        <v>6.5</v>
      </c>
      <c r="L37" s="350">
        <f>5.2+0.5</f>
        <v>5.7</v>
      </c>
      <c r="M37" s="196"/>
      <c r="N37" s="197"/>
      <c r="O37" s="193"/>
      <c r="P37" s="193"/>
      <c r="Q37" s="195"/>
      <c r="R37" s="235">
        <f t="shared" si="6"/>
        <v>0</v>
      </c>
      <c r="S37" s="350">
        <f>SUM(M37:Q37)</f>
        <v>0</v>
      </c>
      <c r="T37" s="196"/>
      <c r="U37" s="351">
        <f t="shared" si="4"/>
        <v>6.5</v>
      </c>
      <c r="V37" s="351">
        <f t="shared" si="5"/>
        <v>5.7</v>
      </c>
      <c r="W37" s="351">
        <f t="shared" si="1"/>
        <v>87.6923076923077</v>
      </c>
    </row>
    <row r="38" spans="1:23" ht="10.5" customHeight="1">
      <c r="A38" s="172">
        <f t="shared" si="0"/>
        <v>30</v>
      </c>
      <c r="B38" s="181"/>
      <c r="C38" s="376"/>
      <c r="D38" s="377">
        <f>D37+1</f>
        <v>5</v>
      </c>
      <c r="E38" s="192" t="s">
        <v>40</v>
      </c>
      <c r="F38" s="193"/>
      <c r="G38" s="193"/>
      <c r="H38" s="194">
        <v>1</v>
      </c>
      <c r="I38" s="193"/>
      <c r="J38" s="195"/>
      <c r="K38" s="235">
        <f t="shared" si="2"/>
        <v>1</v>
      </c>
      <c r="L38" s="350">
        <v>0.4</v>
      </c>
      <c r="M38" s="196"/>
      <c r="N38" s="197"/>
      <c r="O38" s="193"/>
      <c r="P38" s="193"/>
      <c r="Q38" s="195"/>
      <c r="R38" s="235">
        <f t="shared" si="6"/>
        <v>0</v>
      </c>
      <c r="S38" s="350">
        <f>SUM(M38:Q38)</f>
        <v>0</v>
      </c>
      <c r="T38" s="196"/>
      <c r="U38" s="351">
        <f t="shared" si="4"/>
        <v>1</v>
      </c>
      <c r="V38" s="351">
        <f t="shared" si="5"/>
        <v>0.4</v>
      </c>
      <c r="W38" s="351">
        <f t="shared" si="1"/>
        <v>40</v>
      </c>
    </row>
    <row r="39" spans="1:23" ht="10.5" customHeight="1">
      <c r="A39" s="172">
        <f t="shared" si="0"/>
        <v>31</v>
      </c>
      <c r="B39" s="173">
        <v>7</v>
      </c>
      <c r="C39" s="174" t="s">
        <v>70</v>
      </c>
      <c r="D39" s="175"/>
      <c r="E39" s="175"/>
      <c r="F39" s="176"/>
      <c r="G39" s="176"/>
      <c r="H39" s="176">
        <f>H40</f>
        <v>27.200000000000003</v>
      </c>
      <c r="I39" s="176"/>
      <c r="J39" s="177"/>
      <c r="K39" s="180">
        <f t="shared" si="2"/>
        <v>27.200000000000003</v>
      </c>
      <c r="L39" s="229">
        <f>+L40</f>
        <v>28.6</v>
      </c>
      <c r="M39" s="178"/>
      <c r="N39" s="179"/>
      <c r="O39" s="176"/>
      <c r="P39" s="176"/>
      <c r="Q39" s="177"/>
      <c r="R39" s="180">
        <f t="shared" si="6"/>
        <v>0</v>
      </c>
      <c r="S39" s="229">
        <f>+S40</f>
        <v>0</v>
      </c>
      <c r="T39" s="178"/>
      <c r="U39" s="277">
        <f t="shared" si="4"/>
        <v>27.200000000000003</v>
      </c>
      <c r="V39" s="277">
        <f t="shared" si="5"/>
        <v>28.6</v>
      </c>
      <c r="W39" s="277">
        <f t="shared" si="1"/>
        <v>105.14705882352942</v>
      </c>
    </row>
    <row r="40" spans="1:23" ht="10.5" customHeight="1">
      <c r="A40" s="172">
        <f t="shared" si="0"/>
        <v>32</v>
      </c>
      <c r="B40" s="181"/>
      <c r="C40" s="182" t="s">
        <v>71</v>
      </c>
      <c r="D40" s="183" t="s">
        <v>25</v>
      </c>
      <c r="E40" s="183"/>
      <c r="F40" s="280"/>
      <c r="G40" s="280"/>
      <c r="H40" s="280">
        <f>SUM(H41:H45)</f>
        <v>27.200000000000003</v>
      </c>
      <c r="I40" s="280"/>
      <c r="J40" s="281"/>
      <c r="K40" s="189">
        <f t="shared" si="2"/>
        <v>27.200000000000003</v>
      </c>
      <c r="L40" s="230">
        <f>SUM(L41:L45)</f>
        <v>28.6</v>
      </c>
      <c r="M40" s="375"/>
      <c r="N40" s="374"/>
      <c r="O40" s="371"/>
      <c r="P40" s="371"/>
      <c r="Q40" s="372"/>
      <c r="R40" s="189">
        <f t="shared" si="6"/>
        <v>0</v>
      </c>
      <c r="S40" s="230">
        <f>SUM(S41:S45)</f>
        <v>0</v>
      </c>
      <c r="T40" s="375"/>
      <c r="U40" s="282">
        <f t="shared" si="4"/>
        <v>27.200000000000003</v>
      </c>
      <c r="V40" s="282">
        <f t="shared" si="5"/>
        <v>28.6</v>
      </c>
      <c r="W40" s="282">
        <f t="shared" si="1"/>
        <v>105.14705882352942</v>
      </c>
    </row>
    <row r="41" spans="1:23" ht="10.5" customHeight="1">
      <c r="A41" s="172">
        <f t="shared" si="0"/>
        <v>33</v>
      </c>
      <c r="B41" s="181"/>
      <c r="C41" s="376"/>
      <c r="D41" s="191" t="s">
        <v>21</v>
      </c>
      <c r="E41" s="201" t="s">
        <v>44</v>
      </c>
      <c r="F41" s="193"/>
      <c r="G41" s="193"/>
      <c r="H41" s="194">
        <v>10.5</v>
      </c>
      <c r="I41" s="193"/>
      <c r="J41" s="195"/>
      <c r="K41" s="235">
        <f t="shared" si="2"/>
        <v>10.5</v>
      </c>
      <c r="L41" s="350">
        <v>10.3</v>
      </c>
      <c r="M41" s="196"/>
      <c r="N41" s="197"/>
      <c r="O41" s="193"/>
      <c r="P41" s="193"/>
      <c r="Q41" s="195"/>
      <c r="R41" s="235">
        <f t="shared" si="6"/>
        <v>0</v>
      </c>
      <c r="S41" s="350">
        <f>SUM(M41:Q41)</f>
        <v>0</v>
      </c>
      <c r="T41" s="196"/>
      <c r="U41" s="351">
        <f t="shared" si="4"/>
        <v>10.5</v>
      </c>
      <c r="V41" s="351">
        <f t="shared" si="5"/>
        <v>10.3</v>
      </c>
      <c r="W41" s="351">
        <f t="shared" si="1"/>
        <v>98.0952380952381</v>
      </c>
    </row>
    <row r="42" spans="1:23" ht="10.5" customHeight="1">
      <c r="A42" s="172">
        <f t="shared" si="0"/>
        <v>34</v>
      </c>
      <c r="B42" s="181"/>
      <c r="C42" s="376"/>
      <c r="D42" s="377">
        <f>D41+1</f>
        <v>2</v>
      </c>
      <c r="E42" s="192" t="s">
        <v>45</v>
      </c>
      <c r="F42" s="193"/>
      <c r="G42" s="193"/>
      <c r="H42" s="194">
        <v>5</v>
      </c>
      <c r="I42" s="193"/>
      <c r="J42" s="195"/>
      <c r="K42" s="235">
        <f t="shared" si="2"/>
        <v>5</v>
      </c>
      <c r="L42" s="350">
        <v>6.3</v>
      </c>
      <c r="M42" s="196"/>
      <c r="N42" s="197"/>
      <c r="O42" s="193"/>
      <c r="P42" s="193"/>
      <c r="Q42" s="195"/>
      <c r="R42" s="235">
        <f t="shared" si="6"/>
        <v>0</v>
      </c>
      <c r="S42" s="350">
        <f>SUM(M42:Q42)</f>
        <v>0</v>
      </c>
      <c r="T42" s="196"/>
      <c r="U42" s="351">
        <f t="shared" si="4"/>
        <v>5</v>
      </c>
      <c r="V42" s="351">
        <f t="shared" si="5"/>
        <v>6.3</v>
      </c>
      <c r="W42" s="351">
        <f t="shared" si="1"/>
        <v>126</v>
      </c>
    </row>
    <row r="43" spans="1:23" ht="10.5" customHeight="1">
      <c r="A43" s="172">
        <f t="shared" si="0"/>
        <v>35</v>
      </c>
      <c r="B43" s="181"/>
      <c r="C43" s="376"/>
      <c r="D43" s="377">
        <f>D42+1</f>
        <v>3</v>
      </c>
      <c r="E43" s="192" t="s">
        <v>34</v>
      </c>
      <c r="F43" s="193"/>
      <c r="G43" s="193"/>
      <c r="H43" s="194">
        <v>11.3</v>
      </c>
      <c r="I43" s="193"/>
      <c r="J43" s="195"/>
      <c r="K43" s="235">
        <f t="shared" si="2"/>
        <v>11.3</v>
      </c>
      <c r="L43" s="350">
        <v>11.7</v>
      </c>
      <c r="M43" s="196"/>
      <c r="N43" s="197"/>
      <c r="O43" s="193"/>
      <c r="P43" s="193"/>
      <c r="Q43" s="195"/>
      <c r="R43" s="235">
        <f t="shared" si="6"/>
        <v>0</v>
      </c>
      <c r="S43" s="350">
        <f>SUM(M43:Q43)</f>
        <v>0</v>
      </c>
      <c r="T43" s="196"/>
      <c r="U43" s="351">
        <f t="shared" si="4"/>
        <v>11.3</v>
      </c>
      <c r="V43" s="351">
        <f t="shared" si="5"/>
        <v>11.7</v>
      </c>
      <c r="W43" s="351">
        <f t="shared" si="1"/>
        <v>103.53982300884954</v>
      </c>
    </row>
    <row r="44" spans="1:23" ht="10.5" customHeight="1">
      <c r="A44" s="172">
        <f t="shared" si="0"/>
        <v>36</v>
      </c>
      <c r="B44" s="181"/>
      <c r="C44" s="376"/>
      <c r="D44" s="377">
        <f>D43+1</f>
        <v>4</v>
      </c>
      <c r="E44" s="192" t="s">
        <v>154</v>
      </c>
      <c r="F44" s="193"/>
      <c r="G44" s="193"/>
      <c r="H44" s="194">
        <v>0.3</v>
      </c>
      <c r="I44" s="193"/>
      <c r="J44" s="195"/>
      <c r="K44" s="235">
        <f t="shared" si="2"/>
        <v>0.3</v>
      </c>
      <c r="L44" s="350">
        <v>0.2</v>
      </c>
      <c r="M44" s="196"/>
      <c r="N44" s="197"/>
      <c r="O44" s="193"/>
      <c r="P44" s="193"/>
      <c r="Q44" s="195"/>
      <c r="R44" s="235">
        <f t="shared" si="6"/>
        <v>0</v>
      </c>
      <c r="S44" s="350">
        <f>SUM(M44:Q44)</f>
        <v>0</v>
      </c>
      <c r="T44" s="196"/>
      <c r="U44" s="351">
        <f t="shared" si="4"/>
        <v>0.3</v>
      </c>
      <c r="V44" s="351">
        <f t="shared" si="5"/>
        <v>0.2</v>
      </c>
      <c r="W44" s="351">
        <f t="shared" si="1"/>
        <v>66.66666666666667</v>
      </c>
    </row>
    <row r="45" spans="1:23" ht="10.5" customHeight="1">
      <c r="A45" s="172">
        <f t="shared" si="0"/>
        <v>37</v>
      </c>
      <c r="B45" s="181"/>
      <c r="C45" s="376"/>
      <c r="D45" s="377">
        <f>D44+1</f>
        <v>5</v>
      </c>
      <c r="E45" s="192" t="s">
        <v>155</v>
      </c>
      <c r="F45" s="193"/>
      <c r="G45" s="193"/>
      <c r="H45" s="194">
        <v>0.1</v>
      </c>
      <c r="I45" s="193"/>
      <c r="J45" s="195"/>
      <c r="K45" s="235">
        <f t="shared" si="2"/>
        <v>0.1</v>
      </c>
      <c r="L45" s="350">
        <v>0.1</v>
      </c>
      <c r="M45" s="196"/>
      <c r="N45" s="197"/>
      <c r="O45" s="193"/>
      <c r="P45" s="193"/>
      <c r="Q45" s="195"/>
      <c r="R45" s="235">
        <f t="shared" si="6"/>
        <v>0</v>
      </c>
      <c r="S45" s="350">
        <f>SUM(M45:Q45)</f>
        <v>0</v>
      </c>
      <c r="T45" s="196"/>
      <c r="U45" s="351">
        <f t="shared" si="4"/>
        <v>0.1</v>
      </c>
      <c r="V45" s="351">
        <f t="shared" si="5"/>
        <v>0.1</v>
      </c>
      <c r="W45" s="351">
        <f t="shared" si="1"/>
        <v>100</v>
      </c>
    </row>
    <row r="46" spans="1:23" ht="10.5" customHeight="1">
      <c r="A46" s="172">
        <f t="shared" si="0"/>
        <v>38</v>
      </c>
      <c r="B46" s="173">
        <v>8</v>
      </c>
      <c r="C46" s="174" t="s">
        <v>78</v>
      </c>
      <c r="D46" s="175"/>
      <c r="E46" s="175"/>
      <c r="F46" s="176"/>
      <c r="G46" s="176"/>
      <c r="H46" s="176">
        <f>H47</f>
        <v>61.7</v>
      </c>
      <c r="I46" s="176"/>
      <c r="J46" s="177"/>
      <c r="K46" s="180">
        <f t="shared" si="2"/>
        <v>61.7</v>
      </c>
      <c r="L46" s="229">
        <f>+L47</f>
        <v>65.3</v>
      </c>
      <c r="M46" s="178"/>
      <c r="N46" s="179"/>
      <c r="O46" s="176"/>
      <c r="P46" s="176"/>
      <c r="Q46" s="177"/>
      <c r="R46" s="180">
        <f t="shared" si="6"/>
        <v>0</v>
      </c>
      <c r="S46" s="229">
        <f>+S47</f>
        <v>0</v>
      </c>
      <c r="T46" s="178"/>
      <c r="U46" s="277">
        <f t="shared" si="4"/>
        <v>61.7</v>
      </c>
      <c r="V46" s="277">
        <f t="shared" si="5"/>
        <v>65.3</v>
      </c>
      <c r="W46" s="277">
        <f t="shared" si="1"/>
        <v>105.83468395461912</v>
      </c>
    </row>
    <row r="47" spans="1:23" ht="10.5" customHeight="1">
      <c r="A47" s="172">
        <f t="shared" si="0"/>
        <v>39</v>
      </c>
      <c r="B47" s="181"/>
      <c r="C47" s="182" t="s">
        <v>156</v>
      </c>
      <c r="D47" s="183" t="s">
        <v>78</v>
      </c>
      <c r="E47" s="183"/>
      <c r="F47" s="280"/>
      <c r="G47" s="280"/>
      <c r="H47" s="280">
        <f>SUM(H48:H49)</f>
        <v>61.7</v>
      </c>
      <c r="I47" s="280"/>
      <c r="J47" s="281"/>
      <c r="K47" s="189">
        <f t="shared" si="2"/>
        <v>61.7</v>
      </c>
      <c r="L47" s="230">
        <f>SUM(L48:L49)</f>
        <v>65.3</v>
      </c>
      <c r="M47" s="375"/>
      <c r="N47" s="374"/>
      <c r="O47" s="371"/>
      <c r="P47" s="371"/>
      <c r="Q47" s="372"/>
      <c r="R47" s="189">
        <f t="shared" si="6"/>
        <v>0</v>
      </c>
      <c r="S47" s="230">
        <f>SUM(S48:S49)</f>
        <v>0</v>
      </c>
      <c r="T47" s="375"/>
      <c r="U47" s="282">
        <f t="shared" si="4"/>
        <v>61.7</v>
      </c>
      <c r="V47" s="282">
        <f t="shared" si="5"/>
        <v>65.3</v>
      </c>
      <c r="W47" s="282">
        <f t="shared" si="1"/>
        <v>105.83468395461912</v>
      </c>
    </row>
    <row r="48" spans="1:23" ht="10.5" customHeight="1">
      <c r="A48" s="172">
        <f t="shared" si="0"/>
        <v>40</v>
      </c>
      <c r="B48" s="181"/>
      <c r="C48" s="190"/>
      <c r="D48" s="191" t="s">
        <v>21</v>
      </c>
      <c r="E48" s="201" t="s">
        <v>157</v>
      </c>
      <c r="F48" s="193"/>
      <c r="G48" s="193"/>
      <c r="H48" s="867">
        <v>5</v>
      </c>
      <c r="I48" s="193"/>
      <c r="J48" s="195"/>
      <c r="K48" s="235">
        <f t="shared" si="2"/>
        <v>5</v>
      </c>
      <c r="L48" s="350">
        <f>2.5+0.2+1.6+1.9</f>
        <v>6.200000000000001</v>
      </c>
      <c r="M48" s="196"/>
      <c r="N48" s="197"/>
      <c r="O48" s="193"/>
      <c r="P48" s="193"/>
      <c r="Q48" s="195"/>
      <c r="R48" s="235">
        <f t="shared" si="6"/>
        <v>0</v>
      </c>
      <c r="S48" s="350">
        <f>SUM(M48:Q48)</f>
        <v>0</v>
      </c>
      <c r="T48" s="196"/>
      <c r="U48" s="351">
        <f t="shared" si="4"/>
        <v>5</v>
      </c>
      <c r="V48" s="351">
        <f t="shared" si="5"/>
        <v>6.200000000000001</v>
      </c>
      <c r="W48" s="351">
        <f t="shared" si="1"/>
        <v>124.00000000000003</v>
      </c>
    </row>
    <row r="49" spans="1:23" ht="10.5" customHeight="1">
      <c r="A49" s="172">
        <f t="shared" si="0"/>
        <v>41</v>
      </c>
      <c r="B49" s="181"/>
      <c r="C49" s="190"/>
      <c r="D49" s="191" t="s">
        <v>22</v>
      </c>
      <c r="E49" s="201" t="s">
        <v>168</v>
      </c>
      <c r="F49" s="193"/>
      <c r="G49" s="193"/>
      <c r="H49" s="194">
        <v>56.7</v>
      </c>
      <c r="I49" s="193"/>
      <c r="J49" s="195"/>
      <c r="K49" s="235">
        <f t="shared" si="2"/>
        <v>56.7</v>
      </c>
      <c r="L49" s="350">
        <v>59.1</v>
      </c>
      <c r="M49" s="378"/>
      <c r="N49" s="197"/>
      <c r="O49" s="193"/>
      <c r="P49" s="193"/>
      <c r="Q49" s="195"/>
      <c r="R49" s="235">
        <f t="shared" si="6"/>
        <v>0</v>
      </c>
      <c r="S49" s="350">
        <f>SUM(M49:Q49)</f>
        <v>0</v>
      </c>
      <c r="T49" s="378"/>
      <c r="U49" s="351">
        <f t="shared" si="4"/>
        <v>56.7</v>
      </c>
      <c r="V49" s="351">
        <f t="shared" si="5"/>
        <v>59.1</v>
      </c>
      <c r="W49" s="351">
        <f t="shared" si="1"/>
        <v>104.23280423280423</v>
      </c>
    </row>
    <row r="50" spans="1:23" ht="10.5" customHeight="1">
      <c r="A50" s="172">
        <f t="shared" si="0"/>
        <v>42</v>
      </c>
      <c r="B50" s="379">
        <v>9</v>
      </c>
      <c r="C50" s="380" t="s">
        <v>468</v>
      </c>
      <c r="D50" s="381"/>
      <c r="E50" s="381"/>
      <c r="F50" s="382"/>
      <c r="G50" s="382"/>
      <c r="H50" s="382">
        <f>H51</f>
        <v>20</v>
      </c>
      <c r="I50" s="382"/>
      <c r="J50" s="383"/>
      <c r="K50" s="384">
        <f t="shared" si="2"/>
        <v>20</v>
      </c>
      <c r="L50" s="229">
        <f>+L51</f>
        <v>17.799999999999997</v>
      </c>
      <c r="M50" s="178"/>
      <c r="N50" s="385"/>
      <c r="O50" s="382"/>
      <c r="P50" s="382"/>
      <c r="Q50" s="383"/>
      <c r="R50" s="384">
        <f t="shared" si="6"/>
        <v>0</v>
      </c>
      <c r="S50" s="229">
        <f>+S51</f>
        <v>0</v>
      </c>
      <c r="T50" s="178"/>
      <c r="U50" s="386">
        <f t="shared" si="4"/>
        <v>20</v>
      </c>
      <c r="V50" s="386">
        <f t="shared" si="5"/>
        <v>17.799999999999997</v>
      </c>
      <c r="W50" s="386">
        <f t="shared" si="1"/>
        <v>88.99999999999999</v>
      </c>
    </row>
    <row r="51" spans="1:23" ht="10.5" customHeight="1">
      <c r="A51" s="387">
        <f t="shared" si="0"/>
        <v>43</v>
      </c>
      <c r="B51" s="388"/>
      <c r="C51" s="389" t="s">
        <v>300</v>
      </c>
      <c r="D51" s="390" t="s">
        <v>25</v>
      </c>
      <c r="E51" s="390"/>
      <c r="F51" s="284"/>
      <c r="G51" s="284"/>
      <c r="H51" s="284">
        <f>SUM(H52:H56)</f>
        <v>20</v>
      </c>
      <c r="I51" s="284"/>
      <c r="J51" s="285"/>
      <c r="K51" s="286">
        <f t="shared" si="2"/>
        <v>20</v>
      </c>
      <c r="L51" s="230">
        <f>SUM(L52:L56)</f>
        <v>17.799999999999997</v>
      </c>
      <c r="M51" s="375"/>
      <c r="N51" s="391"/>
      <c r="O51" s="392"/>
      <c r="P51" s="392"/>
      <c r="Q51" s="393"/>
      <c r="R51" s="286">
        <f t="shared" si="6"/>
        <v>0</v>
      </c>
      <c r="S51" s="230">
        <f>SUM(S52:S56)</f>
        <v>0</v>
      </c>
      <c r="T51" s="375"/>
      <c r="U51" s="287">
        <f t="shared" si="4"/>
        <v>20</v>
      </c>
      <c r="V51" s="287">
        <f t="shared" si="5"/>
        <v>17.799999999999997</v>
      </c>
      <c r="W51" s="287">
        <f t="shared" si="1"/>
        <v>88.99999999999999</v>
      </c>
    </row>
    <row r="52" spans="1:23" ht="10.5" customHeight="1">
      <c r="A52" s="704">
        <f>A48+1</f>
        <v>41</v>
      </c>
      <c r="B52" s="200"/>
      <c r="C52" s="395"/>
      <c r="D52" s="394">
        <v>1</v>
      </c>
      <c r="E52" s="357" t="s">
        <v>296</v>
      </c>
      <c r="F52" s="365"/>
      <c r="G52" s="365"/>
      <c r="H52" s="311">
        <v>3.5</v>
      </c>
      <c r="I52" s="365"/>
      <c r="J52" s="366"/>
      <c r="K52" s="367">
        <f t="shared" si="2"/>
        <v>3.5</v>
      </c>
      <c r="L52" s="368">
        <f>2.2+0.8</f>
        <v>3</v>
      </c>
      <c r="M52" s="365"/>
      <c r="N52" s="365"/>
      <c r="O52" s="365"/>
      <c r="P52" s="365"/>
      <c r="Q52" s="366"/>
      <c r="R52" s="367">
        <f t="shared" si="6"/>
        <v>0</v>
      </c>
      <c r="S52" s="368">
        <f>SUM(M52:Q52)</f>
        <v>0</v>
      </c>
      <c r="T52" s="365"/>
      <c r="U52" s="396">
        <f t="shared" si="4"/>
        <v>3.5</v>
      </c>
      <c r="V52" s="396">
        <f t="shared" si="5"/>
        <v>3</v>
      </c>
      <c r="W52" s="396">
        <f t="shared" si="1"/>
        <v>85.71428571428571</v>
      </c>
    </row>
    <row r="53" spans="1:23" ht="10.5" customHeight="1">
      <c r="A53" s="704">
        <f t="shared" si="0"/>
        <v>42</v>
      </c>
      <c r="B53" s="200"/>
      <c r="C53" s="395"/>
      <c r="D53" s="394">
        <f>D52+1</f>
        <v>2</v>
      </c>
      <c r="E53" s="357" t="s">
        <v>469</v>
      </c>
      <c r="F53" s="365"/>
      <c r="G53" s="365"/>
      <c r="H53" s="311">
        <v>11.5</v>
      </c>
      <c r="I53" s="365"/>
      <c r="J53" s="366"/>
      <c r="K53" s="367">
        <f t="shared" si="2"/>
        <v>11.5</v>
      </c>
      <c r="L53" s="368">
        <f>8.1+1.6</f>
        <v>9.7</v>
      </c>
      <c r="M53" s="365"/>
      <c r="N53" s="365"/>
      <c r="O53" s="365"/>
      <c r="P53" s="365"/>
      <c r="Q53" s="366"/>
      <c r="R53" s="367">
        <f t="shared" si="6"/>
        <v>0</v>
      </c>
      <c r="S53" s="368">
        <f>SUM(M53:Q53)</f>
        <v>0</v>
      </c>
      <c r="T53" s="365"/>
      <c r="U53" s="396">
        <f t="shared" si="4"/>
        <v>11.5</v>
      </c>
      <c r="V53" s="396">
        <f t="shared" si="5"/>
        <v>9.7</v>
      </c>
      <c r="W53" s="396">
        <f t="shared" si="1"/>
        <v>84.34782608695652</v>
      </c>
    </row>
    <row r="54" spans="1:23" ht="10.5" customHeight="1">
      <c r="A54" s="704"/>
      <c r="B54" s="200"/>
      <c r="C54" s="395"/>
      <c r="D54" s="397">
        <v>3</v>
      </c>
      <c r="E54" s="357" t="s">
        <v>534</v>
      </c>
      <c r="F54" s="365"/>
      <c r="G54" s="365"/>
      <c r="H54" s="311">
        <v>1.7</v>
      </c>
      <c r="I54" s="365"/>
      <c r="J54" s="366"/>
      <c r="K54" s="367">
        <f t="shared" si="2"/>
        <v>1.7</v>
      </c>
      <c r="L54" s="368">
        <f>1.5+0.6</f>
        <v>2.1</v>
      </c>
      <c r="M54" s="398"/>
      <c r="N54" s="398"/>
      <c r="O54" s="398"/>
      <c r="P54" s="398"/>
      <c r="Q54" s="399"/>
      <c r="R54" s="367">
        <f t="shared" si="6"/>
        <v>0</v>
      </c>
      <c r="S54" s="368">
        <f>SUM(M54:Q54)</f>
        <v>0</v>
      </c>
      <c r="T54" s="398"/>
      <c r="U54" s="396">
        <f t="shared" si="4"/>
        <v>1.7</v>
      </c>
      <c r="V54" s="396">
        <f t="shared" si="5"/>
        <v>2.1</v>
      </c>
      <c r="W54" s="396">
        <f t="shared" si="1"/>
        <v>123.52941176470588</v>
      </c>
    </row>
    <row r="55" spans="1:23" ht="10.5" customHeight="1">
      <c r="A55" s="704">
        <f>A51+1</f>
        <v>44</v>
      </c>
      <c r="B55" s="200"/>
      <c r="C55" s="395"/>
      <c r="D55" s="394">
        <v>4</v>
      </c>
      <c r="E55" s="357" t="s">
        <v>16</v>
      </c>
      <c r="F55" s="365"/>
      <c r="G55" s="365"/>
      <c r="H55" s="311">
        <v>3.2</v>
      </c>
      <c r="I55" s="365"/>
      <c r="J55" s="366"/>
      <c r="K55" s="367">
        <f t="shared" si="2"/>
        <v>3.2</v>
      </c>
      <c r="L55" s="368">
        <f>2.4+0.1+0.5</f>
        <v>3</v>
      </c>
      <c r="M55" s="365"/>
      <c r="N55" s="365"/>
      <c r="O55" s="365"/>
      <c r="P55" s="365"/>
      <c r="Q55" s="366"/>
      <c r="R55" s="367">
        <f t="shared" si="6"/>
        <v>0</v>
      </c>
      <c r="S55" s="368">
        <f>SUM(M55:Q55)</f>
        <v>0</v>
      </c>
      <c r="T55" s="365"/>
      <c r="U55" s="396">
        <f t="shared" si="4"/>
        <v>3.2</v>
      </c>
      <c r="V55" s="396">
        <f t="shared" si="5"/>
        <v>3</v>
      </c>
      <c r="W55" s="396">
        <f t="shared" si="1"/>
        <v>93.75</v>
      </c>
    </row>
    <row r="56" spans="1:23" ht="10.5" customHeight="1" thickBot="1">
      <c r="A56" s="214">
        <f t="shared" si="0"/>
        <v>45</v>
      </c>
      <c r="B56" s="215"/>
      <c r="C56" s="400"/>
      <c r="D56" s="401">
        <v>5</v>
      </c>
      <c r="E56" s="402" t="s">
        <v>535</v>
      </c>
      <c r="F56" s="219"/>
      <c r="G56" s="219"/>
      <c r="H56" s="322">
        <v>0.1</v>
      </c>
      <c r="I56" s="219"/>
      <c r="J56" s="228"/>
      <c r="K56" s="236">
        <f t="shared" si="2"/>
        <v>0.1</v>
      </c>
      <c r="L56" s="403">
        <v>0</v>
      </c>
      <c r="M56" s="219"/>
      <c r="N56" s="233"/>
      <c r="O56" s="219"/>
      <c r="P56" s="219"/>
      <c r="Q56" s="228"/>
      <c r="R56" s="236">
        <f t="shared" si="6"/>
        <v>0</v>
      </c>
      <c r="S56" s="404">
        <f>SUM(M56:Q56)</f>
        <v>0</v>
      </c>
      <c r="T56" s="219"/>
      <c r="U56" s="405">
        <f t="shared" si="4"/>
        <v>0.1</v>
      </c>
      <c r="V56" s="405">
        <f t="shared" si="5"/>
        <v>0</v>
      </c>
      <c r="W56" s="405">
        <f t="shared" si="1"/>
        <v>0</v>
      </c>
    </row>
    <row r="57" spans="1:20" ht="12.75">
      <c r="A57" s="150"/>
      <c r="B57" s="150"/>
      <c r="J57" s="152"/>
      <c r="K57" s="152"/>
      <c r="M57" s="150"/>
      <c r="Q57" s="152"/>
      <c r="R57" s="152"/>
      <c r="T57" s="150"/>
    </row>
    <row r="58" spans="1:20" ht="12.75">
      <c r="A58" s="150"/>
      <c r="B58" s="150"/>
      <c r="J58" s="152"/>
      <c r="K58" s="152"/>
      <c r="M58" s="150"/>
      <c r="Q58" s="152"/>
      <c r="R58" s="152"/>
      <c r="T58" s="150"/>
    </row>
    <row r="59" spans="1:20" ht="12.75">
      <c r="A59" s="150"/>
      <c r="B59" s="150"/>
      <c r="J59" s="152"/>
      <c r="K59" s="152"/>
      <c r="M59" s="150"/>
      <c r="Q59" s="152"/>
      <c r="R59" s="152"/>
      <c r="T59" s="150"/>
    </row>
    <row r="60" spans="1:20" ht="12.75">
      <c r="A60" s="150"/>
      <c r="B60" s="150"/>
      <c r="J60" s="152"/>
      <c r="K60" s="152"/>
      <c r="M60" s="150"/>
      <c r="Q60" s="152"/>
      <c r="R60" s="152"/>
      <c r="T60" s="150"/>
    </row>
    <row r="61" spans="1:20" ht="12.75">
      <c r="A61" s="246"/>
      <c r="B61" s="150"/>
      <c r="J61" s="152"/>
      <c r="K61" s="152"/>
      <c r="M61" s="150"/>
      <c r="Q61" s="152"/>
      <c r="R61" s="152"/>
      <c r="T61" s="150"/>
    </row>
    <row r="62" spans="1:20" ht="12.75">
      <c r="A62" s="330"/>
      <c r="B62" s="150"/>
      <c r="L62" s="152"/>
      <c r="M62" s="150"/>
      <c r="S62" s="152"/>
      <c r="T62" s="150"/>
    </row>
    <row r="63" ht="12.75">
      <c r="A63" s="330"/>
    </row>
    <row r="65" ht="12.75"/>
    <row r="66" ht="12.75"/>
    <row r="67" ht="12.75"/>
    <row r="68" ht="12.75"/>
  </sheetData>
  <sheetProtection/>
  <mergeCells count="19">
    <mergeCell ref="F6:L6"/>
    <mergeCell ref="F5:L5"/>
    <mergeCell ref="A4:L4"/>
    <mergeCell ref="J7:J8"/>
    <mergeCell ref="F7:F8"/>
    <mergeCell ref="E5:E8"/>
    <mergeCell ref="G7:G8"/>
    <mergeCell ref="H7:H8"/>
    <mergeCell ref="I7:I8"/>
    <mergeCell ref="W7:W8"/>
    <mergeCell ref="K7:K8"/>
    <mergeCell ref="R7:R8"/>
    <mergeCell ref="O7:O8"/>
    <mergeCell ref="N5:S5"/>
    <mergeCell ref="S7:S8"/>
    <mergeCell ref="L7:L8"/>
    <mergeCell ref="Q7:Q8"/>
    <mergeCell ref="P7:P8"/>
    <mergeCell ref="N7:N8"/>
  </mergeCells>
  <printOptions horizontalCentered="1"/>
  <pageMargins left="0.23" right="0.15748031496062992" top="0.48" bottom="0.39" header="0.27" footer="0.16"/>
  <pageSetup horizontalDpi="600" verticalDpi="600" orientation="landscape" paperSize="9" scale="88" r:id="rId3"/>
  <headerFooter alignWithMargins="0">
    <oddHeader>&amp;CPlnenie programového rozpočtu mesta Svidník v roku  2010 (v tis. €)</oddHeader>
    <oddFooter>&amp;C&amp;A -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5.140625" style="148" customWidth="1"/>
    <col min="2" max="2" width="3.421875" style="149" customWidth="1"/>
    <col min="3" max="3" width="7.28125" style="150" customWidth="1"/>
    <col min="4" max="4" width="2.28125" style="150" customWidth="1"/>
    <col min="5" max="5" width="33.8515625" style="150" customWidth="1"/>
    <col min="6" max="6" width="4.7109375" style="150" customWidth="1"/>
    <col min="7" max="7" width="5.28125" style="150" customWidth="1"/>
    <col min="8" max="8" width="7.28125" style="150" customWidth="1"/>
    <col min="9" max="9" width="6.140625" style="150" customWidth="1"/>
    <col min="10" max="10" width="4.28125" style="150" customWidth="1"/>
    <col min="11" max="11" width="6.00390625" style="150" bestFit="1" customWidth="1"/>
    <col min="12" max="12" width="7.28125" style="150" customWidth="1"/>
    <col min="13" max="13" width="0.9921875" style="152" customWidth="1"/>
    <col min="14" max="14" width="4.140625" style="150" customWidth="1"/>
    <col min="15" max="16" width="4.57421875" style="150" customWidth="1"/>
    <col min="17" max="17" width="4.421875" style="150" customWidth="1"/>
    <col min="18" max="19" width="6.28125" style="150" customWidth="1"/>
    <col min="20" max="20" width="6.421875" style="150" customWidth="1"/>
    <col min="21" max="21" width="0.85546875" style="152" customWidth="1"/>
    <col min="22" max="22" width="9.7109375" style="153" customWidth="1"/>
    <col min="23" max="16384" width="9.140625" style="150" customWidth="1"/>
  </cols>
  <sheetData>
    <row r="1" spans="1:22" ht="12.75">
      <c r="A1" s="244"/>
      <c r="B1" s="245"/>
      <c r="C1" s="246"/>
      <c r="D1" s="246"/>
      <c r="E1" s="246"/>
      <c r="H1" s="152"/>
      <c r="I1" s="152"/>
      <c r="J1" s="152"/>
      <c r="K1" s="152"/>
      <c r="L1" s="247"/>
      <c r="N1" s="152"/>
      <c r="O1" s="152"/>
      <c r="P1" s="152"/>
      <c r="Q1" s="152"/>
      <c r="R1" s="152"/>
      <c r="S1" s="152"/>
      <c r="T1" s="248"/>
      <c r="V1" s="248"/>
    </row>
    <row r="2" spans="2:22" ht="18.75">
      <c r="B2" s="249" t="s">
        <v>161</v>
      </c>
      <c r="F2" s="246"/>
      <c r="G2" s="246"/>
      <c r="H2" s="250"/>
      <c r="I2" s="250"/>
      <c r="J2" s="250"/>
      <c r="K2" s="250"/>
      <c r="L2" s="250"/>
      <c r="N2" s="250"/>
      <c r="O2" s="250"/>
      <c r="P2" s="250"/>
      <c r="Q2" s="250"/>
      <c r="R2" s="250"/>
      <c r="S2" s="250"/>
      <c r="T2" s="250"/>
      <c r="V2" s="251"/>
    </row>
    <row r="3" ht="13.5" thickBot="1"/>
    <row r="4" spans="1:24" ht="13.5" customHeight="1" thickBot="1">
      <c r="A4" s="1135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7"/>
      <c r="M4" s="252"/>
      <c r="N4" s="253"/>
      <c r="O4" s="254"/>
      <c r="P4" s="254"/>
      <c r="Q4" s="254"/>
      <c r="R4" s="254"/>
      <c r="S4" s="254"/>
      <c r="T4" s="255"/>
      <c r="U4" s="252"/>
      <c r="V4" s="256"/>
      <c r="W4" s="239"/>
      <c r="X4" s="240"/>
    </row>
    <row r="5" spans="1:24" ht="18.75" customHeight="1">
      <c r="A5" s="257"/>
      <c r="B5" s="258"/>
      <c r="C5" s="259"/>
      <c r="D5" s="260"/>
      <c r="E5" s="261"/>
      <c r="F5" s="1143" t="s">
        <v>30</v>
      </c>
      <c r="G5" s="1139"/>
      <c r="H5" s="1139"/>
      <c r="I5" s="1139"/>
      <c r="J5" s="1139"/>
      <c r="K5" s="1139"/>
      <c r="L5" s="1140"/>
      <c r="M5" s="262"/>
      <c r="N5" s="1138" t="s">
        <v>29</v>
      </c>
      <c r="O5" s="1139"/>
      <c r="P5" s="1139"/>
      <c r="Q5" s="1139"/>
      <c r="R5" s="1139"/>
      <c r="S5" s="1139"/>
      <c r="T5" s="1140"/>
      <c r="U5" s="262"/>
      <c r="V5" s="60" t="s">
        <v>31</v>
      </c>
      <c r="W5" s="60" t="s">
        <v>558</v>
      </c>
      <c r="X5" s="59" t="s">
        <v>558</v>
      </c>
    </row>
    <row r="6" spans="1:24" ht="13.5" thickBot="1">
      <c r="A6" s="161"/>
      <c r="B6" s="147" t="s">
        <v>65</v>
      </c>
      <c r="C6" s="263" t="s">
        <v>27</v>
      </c>
      <c r="D6" s="1111" t="s">
        <v>28</v>
      </c>
      <c r="E6" s="1114"/>
      <c r="F6" s="1114"/>
      <c r="G6" s="1114"/>
      <c r="H6" s="1114"/>
      <c r="I6" s="1114"/>
      <c r="J6" s="1114"/>
      <c r="K6" s="1115"/>
      <c r="L6" s="1144"/>
      <c r="M6" s="31"/>
      <c r="N6" s="264"/>
      <c r="O6" s="265"/>
      <c r="P6" s="265"/>
      <c r="Q6" s="265"/>
      <c r="R6" s="265"/>
      <c r="S6" s="243"/>
      <c r="T6" s="266"/>
      <c r="U6" s="31"/>
      <c r="V6" s="60"/>
      <c r="W6" s="60" t="s">
        <v>559</v>
      </c>
      <c r="X6" s="59" t="s">
        <v>559</v>
      </c>
    </row>
    <row r="7" spans="1:24" ht="12.75">
      <c r="A7" s="165"/>
      <c r="B7" s="145" t="s">
        <v>66</v>
      </c>
      <c r="C7" s="166" t="s">
        <v>64</v>
      </c>
      <c r="D7" s="267"/>
      <c r="E7" s="268" t="s">
        <v>20</v>
      </c>
      <c r="F7" s="1107">
        <v>610</v>
      </c>
      <c r="G7" s="1110">
        <v>620</v>
      </c>
      <c r="H7" s="1110">
        <v>630</v>
      </c>
      <c r="I7" s="1110">
        <v>640</v>
      </c>
      <c r="J7" s="1112">
        <v>650</v>
      </c>
      <c r="K7" s="1119" t="s">
        <v>562</v>
      </c>
      <c r="L7" s="1133" t="s">
        <v>558</v>
      </c>
      <c r="M7" s="31"/>
      <c r="N7" s="1141">
        <v>711</v>
      </c>
      <c r="O7" s="1123">
        <v>713</v>
      </c>
      <c r="P7" s="1107">
        <v>714</v>
      </c>
      <c r="Q7" s="1107">
        <v>716</v>
      </c>
      <c r="R7" s="1112">
        <v>717</v>
      </c>
      <c r="S7" s="1119" t="s">
        <v>562</v>
      </c>
      <c r="T7" s="1133" t="s">
        <v>558</v>
      </c>
      <c r="U7" s="31"/>
      <c r="V7" s="60" t="s">
        <v>49</v>
      </c>
      <c r="W7" s="60" t="s">
        <v>49</v>
      </c>
      <c r="X7" s="1118" t="s">
        <v>560</v>
      </c>
    </row>
    <row r="8" spans="1:24" ht="13.5" thickBot="1">
      <c r="A8" s="165"/>
      <c r="B8" s="145"/>
      <c r="C8" s="166"/>
      <c r="D8" s="267"/>
      <c r="E8" s="268"/>
      <c r="F8" s="1110"/>
      <c r="G8" s="1110"/>
      <c r="H8" s="1110"/>
      <c r="I8" s="1110"/>
      <c r="J8" s="1132"/>
      <c r="K8" s="1120"/>
      <c r="L8" s="1134"/>
      <c r="M8" s="269"/>
      <c r="N8" s="1142"/>
      <c r="O8" s="1130"/>
      <c r="P8" s="1110"/>
      <c r="Q8" s="1110"/>
      <c r="R8" s="1132"/>
      <c r="S8" s="1120"/>
      <c r="T8" s="1134"/>
      <c r="U8" s="269"/>
      <c r="V8" s="60">
        <v>2010</v>
      </c>
      <c r="W8" s="60" t="s">
        <v>561</v>
      </c>
      <c r="X8" s="1118"/>
    </row>
    <row r="9" spans="1:24" ht="21.75" customHeight="1" thickBot="1" thickTop="1">
      <c r="A9" s="582">
        <v>1</v>
      </c>
      <c r="B9" s="28" t="s">
        <v>452</v>
      </c>
      <c r="C9" s="11"/>
      <c r="D9" s="406"/>
      <c r="E9" s="406"/>
      <c r="F9" s="407"/>
      <c r="G9" s="272"/>
      <c r="H9" s="272">
        <f>H10+H16+H22</f>
        <v>0.9999999999999999</v>
      </c>
      <c r="I9" s="272">
        <f>I10+I16+I22</f>
        <v>627</v>
      </c>
      <c r="J9" s="273"/>
      <c r="K9" s="274">
        <f>K10+K16+K22</f>
        <v>628</v>
      </c>
      <c r="L9" s="275">
        <f>L10+L16+L22</f>
        <v>598.8</v>
      </c>
      <c r="M9" s="408"/>
      <c r="N9" s="271"/>
      <c r="O9" s="272"/>
      <c r="P9" s="272"/>
      <c r="Q9" s="272"/>
      <c r="R9" s="273">
        <f>R10+R16+R22</f>
        <v>0</v>
      </c>
      <c r="S9" s="274">
        <f>S10+S16+S22</f>
        <v>0</v>
      </c>
      <c r="T9" s="275">
        <f>T10+T16+T22</f>
        <v>423.2</v>
      </c>
      <c r="U9" s="408"/>
      <c r="V9" s="274">
        <f>V10+V16+V22</f>
        <v>628</v>
      </c>
      <c r="W9" s="274">
        <f>W10+W16+W22</f>
        <v>1022</v>
      </c>
      <c r="X9" s="274">
        <f>+W9/V9*100</f>
        <v>162.7388535031847</v>
      </c>
    </row>
    <row r="10" spans="1:24" ht="21.75" customHeight="1" thickTop="1">
      <c r="A10" s="171">
        <f aca="true" t="shared" si="0" ref="A10:A25">A9+1</f>
        <v>2</v>
      </c>
      <c r="B10" s="379">
        <v>1</v>
      </c>
      <c r="C10" s="380" t="s">
        <v>89</v>
      </c>
      <c r="D10" s="381"/>
      <c r="E10" s="686"/>
      <c r="F10" s="382"/>
      <c r="G10" s="382"/>
      <c r="H10" s="382">
        <f>H11</f>
        <v>0.9999999999999999</v>
      </c>
      <c r="I10" s="382"/>
      <c r="J10" s="383"/>
      <c r="K10" s="384">
        <f>SUM(F10:J10)</f>
        <v>0.9999999999999999</v>
      </c>
      <c r="L10" s="386">
        <f>+L11</f>
        <v>0.2</v>
      </c>
      <c r="M10" s="270"/>
      <c r="N10" s="682"/>
      <c r="O10" s="583"/>
      <c r="P10" s="583"/>
      <c r="Q10" s="583"/>
      <c r="R10" s="689"/>
      <c r="S10" s="384">
        <f>SUM(N10:R10)</f>
        <v>0</v>
      </c>
      <c r="T10" s="386">
        <f>+T11</f>
        <v>0</v>
      </c>
      <c r="U10" s="270"/>
      <c r="V10" s="278">
        <f>K10+S10</f>
        <v>0.9999999999999999</v>
      </c>
      <c r="W10" s="386">
        <f>+L10+T10</f>
        <v>0.2</v>
      </c>
      <c r="X10" s="278">
        <f aca="true" t="shared" si="1" ref="X10:X25">+W10/V10*100</f>
        <v>20.000000000000004</v>
      </c>
    </row>
    <row r="11" spans="1:24" ht="21.75" customHeight="1">
      <c r="A11" s="172">
        <f t="shared" si="0"/>
        <v>3</v>
      </c>
      <c r="B11" s="181"/>
      <c r="C11" s="182" t="s">
        <v>0</v>
      </c>
      <c r="D11" s="183" t="s">
        <v>14</v>
      </c>
      <c r="E11" s="279"/>
      <c r="F11" s="280"/>
      <c r="G11" s="280"/>
      <c r="H11" s="280">
        <f>SUM(H12:H15)</f>
        <v>0.9999999999999999</v>
      </c>
      <c r="I11" s="280"/>
      <c r="J11" s="281"/>
      <c r="K11" s="189">
        <f>SUM(K12:K15)</f>
        <v>0.9999999999999999</v>
      </c>
      <c r="L11" s="282">
        <f>SUM(L12:L15)</f>
        <v>0.2</v>
      </c>
      <c r="M11" s="270"/>
      <c r="N11" s="283"/>
      <c r="O11" s="284"/>
      <c r="P11" s="284"/>
      <c r="Q11" s="284"/>
      <c r="R11" s="285"/>
      <c r="S11" s="189">
        <f>SUM(S12:S15)</f>
        <v>0</v>
      </c>
      <c r="T11" s="282">
        <f>SUM(T12:T15)</f>
        <v>0</v>
      </c>
      <c r="U11" s="270"/>
      <c r="V11" s="286">
        <f aca="true" t="shared" si="2" ref="V11:V25">K11+S11</f>
        <v>0.9999999999999999</v>
      </c>
      <c r="W11" s="282">
        <f>SUM(W12:W15)</f>
        <v>0.2</v>
      </c>
      <c r="X11" s="286">
        <f t="shared" si="1"/>
        <v>20.000000000000004</v>
      </c>
    </row>
    <row r="12" spans="1:24" s="211" customFormat="1" ht="21.75" customHeight="1">
      <c r="A12" s="172">
        <f t="shared" si="0"/>
        <v>4</v>
      </c>
      <c r="B12" s="181"/>
      <c r="C12" s="190"/>
      <c r="D12" s="191" t="s">
        <v>21</v>
      </c>
      <c r="E12" s="288" t="s">
        <v>113</v>
      </c>
      <c r="F12" s="193"/>
      <c r="G12" s="193"/>
      <c r="H12" s="194">
        <v>0.4</v>
      </c>
      <c r="I12" s="193"/>
      <c r="J12" s="195"/>
      <c r="K12" s="235">
        <f aca="true" t="shared" si="3" ref="K12:K25">SUM(F12:J12)</f>
        <v>0.4</v>
      </c>
      <c r="L12" s="833">
        <v>0</v>
      </c>
      <c r="M12" s="270"/>
      <c r="N12" s="289"/>
      <c r="O12" s="290"/>
      <c r="P12" s="290"/>
      <c r="Q12" s="290"/>
      <c r="R12" s="291"/>
      <c r="S12" s="235">
        <f>SUM(N12:R12)</f>
        <v>0</v>
      </c>
      <c r="T12" s="833">
        <v>0</v>
      </c>
      <c r="U12" s="270"/>
      <c r="V12" s="293">
        <f t="shared" si="2"/>
        <v>0.4</v>
      </c>
      <c r="W12" s="293">
        <f aca="true" t="shared" si="4" ref="W12:W25">L12+T12</f>
        <v>0</v>
      </c>
      <c r="X12" s="293">
        <f t="shared" si="1"/>
        <v>0</v>
      </c>
    </row>
    <row r="13" spans="1:24" s="211" customFormat="1" ht="21.75" customHeight="1">
      <c r="A13" s="172">
        <f t="shared" si="0"/>
        <v>5</v>
      </c>
      <c r="B13" s="181"/>
      <c r="C13" s="190"/>
      <c r="D13" s="294">
        <v>2</v>
      </c>
      <c r="E13" s="288" t="s">
        <v>114</v>
      </c>
      <c r="F13" s="193"/>
      <c r="G13" s="193"/>
      <c r="H13" s="194">
        <v>0.3</v>
      </c>
      <c r="I13" s="193"/>
      <c r="J13" s="195"/>
      <c r="K13" s="235">
        <f t="shared" si="3"/>
        <v>0.3</v>
      </c>
      <c r="L13" s="833">
        <v>0.1</v>
      </c>
      <c r="M13" s="270"/>
      <c r="N13" s="289"/>
      <c r="O13" s="290"/>
      <c r="P13" s="290"/>
      <c r="Q13" s="290"/>
      <c r="R13" s="291"/>
      <c r="S13" s="235">
        <f>SUM(N13:R13)</f>
        <v>0</v>
      </c>
      <c r="T13" s="833">
        <v>0</v>
      </c>
      <c r="U13" s="270"/>
      <c r="V13" s="293">
        <f t="shared" si="2"/>
        <v>0.3</v>
      </c>
      <c r="W13" s="293">
        <f t="shared" si="4"/>
        <v>0.1</v>
      </c>
      <c r="X13" s="293">
        <f t="shared" si="1"/>
        <v>33.333333333333336</v>
      </c>
    </row>
    <row r="14" spans="1:24" s="211" customFormat="1" ht="21.75" customHeight="1">
      <c r="A14" s="172">
        <f t="shared" si="0"/>
        <v>6</v>
      </c>
      <c r="B14" s="181"/>
      <c r="C14" s="190"/>
      <c r="D14" s="294">
        <v>3</v>
      </c>
      <c r="E14" s="288" t="s">
        <v>115</v>
      </c>
      <c r="F14" s="193"/>
      <c r="G14" s="193"/>
      <c r="H14" s="194">
        <v>0.2</v>
      </c>
      <c r="I14" s="193"/>
      <c r="J14" s="195"/>
      <c r="K14" s="235">
        <f t="shared" si="3"/>
        <v>0.2</v>
      </c>
      <c r="L14" s="833">
        <v>0.1</v>
      </c>
      <c r="M14" s="270"/>
      <c r="N14" s="295"/>
      <c r="O14" s="193"/>
      <c r="P14" s="193"/>
      <c r="Q14" s="193"/>
      <c r="R14" s="195"/>
      <c r="S14" s="235">
        <f>SUM(N14:R14)</f>
        <v>0</v>
      </c>
      <c r="T14" s="833">
        <v>0</v>
      </c>
      <c r="U14" s="270"/>
      <c r="V14" s="293">
        <f t="shared" si="2"/>
        <v>0.2</v>
      </c>
      <c r="W14" s="293">
        <f t="shared" si="4"/>
        <v>0.1</v>
      </c>
      <c r="X14" s="293">
        <f t="shared" si="1"/>
        <v>50</v>
      </c>
    </row>
    <row r="15" spans="1:24" s="211" customFormat="1" ht="21.75" customHeight="1">
      <c r="A15" s="172">
        <f t="shared" si="0"/>
        <v>7</v>
      </c>
      <c r="B15" s="181"/>
      <c r="C15" s="190"/>
      <c r="D15" s="294">
        <v>4</v>
      </c>
      <c r="E15" s="288" t="s">
        <v>39</v>
      </c>
      <c r="F15" s="193"/>
      <c r="G15" s="193"/>
      <c r="H15" s="296">
        <v>0.1</v>
      </c>
      <c r="I15" s="193"/>
      <c r="J15" s="195"/>
      <c r="K15" s="235">
        <f t="shared" si="3"/>
        <v>0.1</v>
      </c>
      <c r="L15" s="833">
        <v>0</v>
      </c>
      <c r="M15" s="270"/>
      <c r="N15" s="289"/>
      <c r="O15" s="290"/>
      <c r="P15" s="290"/>
      <c r="Q15" s="290"/>
      <c r="R15" s="291"/>
      <c r="S15" s="235">
        <f>SUM(N15:R15)</f>
        <v>0</v>
      </c>
      <c r="T15" s="833">
        <v>0</v>
      </c>
      <c r="U15" s="270"/>
      <c r="V15" s="293">
        <f t="shared" si="2"/>
        <v>0.1</v>
      </c>
      <c r="W15" s="293">
        <f t="shared" si="4"/>
        <v>0</v>
      </c>
      <c r="X15" s="293">
        <f t="shared" si="1"/>
        <v>0</v>
      </c>
    </row>
    <row r="16" spans="1:24" ht="21.75" customHeight="1">
      <c r="A16" s="172">
        <f t="shared" si="0"/>
        <v>8</v>
      </c>
      <c r="B16" s="173">
        <v>2</v>
      </c>
      <c r="C16" s="297" t="s">
        <v>170</v>
      </c>
      <c r="D16" s="175"/>
      <c r="E16" s="276"/>
      <c r="F16" s="176"/>
      <c r="G16" s="176"/>
      <c r="H16" s="176">
        <f>H17</f>
        <v>0</v>
      </c>
      <c r="I16" s="176">
        <f>I17</f>
        <v>514.2</v>
      </c>
      <c r="J16" s="177"/>
      <c r="K16" s="180">
        <f t="shared" si="3"/>
        <v>514.2</v>
      </c>
      <c r="L16" s="277">
        <f>+L17</f>
        <v>487.3</v>
      </c>
      <c r="M16" s="298"/>
      <c r="N16" s="299"/>
      <c r="O16" s="300"/>
      <c r="P16" s="300"/>
      <c r="Q16" s="300"/>
      <c r="R16" s="177">
        <f>R17</f>
        <v>0</v>
      </c>
      <c r="S16" s="180">
        <f>SUM(N16:R16)</f>
        <v>0</v>
      </c>
      <c r="T16" s="277">
        <f>+T17</f>
        <v>423.2</v>
      </c>
      <c r="U16" s="298"/>
      <c r="V16" s="180">
        <f t="shared" si="2"/>
        <v>514.2</v>
      </c>
      <c r="W16" s="180">
        <f>+L16+T16</f>
        <v>910.5</v>
      </c>
      <c r="X16" s="180">
        <f t="shared" si="1"/>
        <v>177.07117852975495</v>
      </c>
    </row>
    <row r="17" spans="1:24" s="306" customFormat="1" ht="21.75" customHeight="1">
      <c r="A17" s="172">
        <f t="shared" si="0"/>
        <v>9</v>
      </c>
      <c r="B17" s="301"/>
      <c r="C17" s="182" t="s">
        <v>171</v>
      </c>
      <c r="D17" s="184" t="s">
        <v>515</v>
      </c>
      <c r="E17" s="302"/>
      <c r="F17" s="280"/>
      <c r="G17" s="280"/>
      <c r="H17" s="280"/>
      <c r="I17" s="280">
        <f>SUM(I18:I21)</f>
        <v>514.2</v>
      </c>
      <c r="J17" s="281"/>
      <c r="K17" s="189">
        <f>SUM(K18:K21)</f>
        <v>514.2</v>
      </c>
      <c r="L17" s="282">
        <f>SUM(L18:L21)</f>
        <v>487.3</v>
      </c>
      <c r="M17" s="303"/>
      <c r="N17" s="304"/>
      <c r="O17" s="280"/>
      <c r="P17" s="280"/>
      <c r="Q17" s="280"/>
      <c r="R17" s="281">
        <f>SUM(R18:R21)</f>
        <v>0</v>
      </c>
      <c r="S17" s="189">
        <f>SUM(S18:S21)</f>
        <v>0</v>
      </c>
      <c r="T17" s="282">
        <f>SUM(T18:T21)</f>
        <v>423.2</v>
      </c>
      <c r="U17" s="305"/>
      <c r="V17" s="189">
        <f t="shared" si="2"/>
        <v>514.2</v>
      </c>
      <c r="W17" s="282">
        <f>SUM(W18:W21)</f>
        <v>910.5</v>
      </c>
      <c r="X17" s="189">
        <f t="shared" si="1"/>
        <v>177.07117852975495</v>
      </c>
    </row>
    <row r="18" spans="1:24" ht="21.75" customHeight="1">
      <c r="A18" s="172">
        <f t="shared" si="0"/>
        <v>10</v>
      </c>
      <c r="B18" s="200"/>
      <c r="C18" s="376"/>
      <c r="D18" s="191" t="s">
        <v>21</v>
      </c>
      <c r="E18" s="307" t="s">
        <v>516</v>
      </c>
      <c r="F18" s="193"/>
      <c r="G18" s="193"/>
      <c r="H18" s="193"/>
      <c r="I18" s="194">
        <v>475</v>
      </c>
      <c r="J18" s="195"/>
      <c r="K18" s="235">
        <f t="shared" si="3"/>
        <v>475</v>
      </c>
      <c r="L18" s="833">
        <v>475</v>
      </c>
      <c r="M18" s="270"/>
      <c r="N18" s="308"/>
      <c r="O18" s="196"/>
      <c r="P18" s="196"/>
      <c r="Q18" s="196"/>
      <c r="R18" s="309"/>
      <c r="S18" s="235">
        <f>SUM(N18:R18)</f>
        <v>0</v>
      </c>
      <c r="T18" s="833">
        <v>0</v>
      </c>
      <c r="U18" s="270"/>
      <c r="V18" s="310">
        <f t="shared" si="2"/>
        <v>475</v>
      </c>
      <c r="W18" s="310">
        <f t="shared" si="4"/>
        <v>475</v>
      </c>
      <c r="X18" s="310">
        <f t="shared" si="1"/>
        <v>100</v>
      </c>
    </row>
    <row r="19" spans="1:24" ht="21.75" customHeight="1">
      <c r="A19" s="172">
        <f t="shared" si="0"/>
        <v>11</v>
      </c>
      <c r="B19" s="200"/>
      <c r="C19" s="376"/>
      <c r="D19" s="377">
        <f>D18+1</f>
        <v>2</v>
      </c>
      <c r="E19" s="307" t="s">
        <v>517</v>
      </c>
      <c r="F19" s="193"/>
      <c r="G19" s="193"/>
      <c r="H19" s="193"/>
      <c r="I19" s="311">
        <v>7</v>
      </c>
      <c r="J19" s="195"/>
      <c r="K19" s="235">
        <f t="shared" si="3"/>
        <v>7</v>
      </c>
      <c r="L19" s="833">
        <v>0</v>
      </c>
      <c r="M19" s="270"/>
      <c r="N19" s="289"/>
      <c r="O19" s="290"/>
      <c r="P19" s="290"/>
      <c r="Q19" s="290"/>
      <c r="R19" s="291"/>
      <c r="S19" s="235">
        <f>SUM(N19:R19)</f>
        <v>0</v>
      </c>
      <c r="T19" s="880">
        <v>423.2</v>
      </c>
      <c r="U19" s="270"/>
      <c r="V19" s="292">
        <f t="shared" si="2"/>
        <v>7</v>
      </c>
      <c r="W19" s="292">
        <f t="shared" si="4"/>
        <v>423.2</v>
      </c>
      <c r="X19" s="292">
        <f t="shared" si="1"/>
        <v>6045.714285714285</v>
      </c>
    </row>
    <row r="20" spans="1:24" ht="21.75" customHeight="1">
      <c r="A20" s="172">
        <f t="shared" si="0"/>
        <v>12</v>
      </c>
      <c r="B20" s="200"/>
      <c r="C20" s="376"/>
      <c r="D20" s="377">
        <f>D19+1</f>
        <v>3</v>
      </c>
      <c r="E20" s="307" t="s">
        <v>518</v>
      </c>
      <c r="F20" s="193"/>
      <c r="G20" s="193"/>
      <c r="H20" s="193"/>
      <c r="I20" s="194">
        <v>18.7</v>
      </c>
      <c r="J20" s="195"/>
      <c r="K20" s="235">
        <f t="shared" si="3"/>
        <v>18.7</v>
      </c>
      <c r="L20" s="833">
        <v>12.3</v>
      </c>
      <c r="M20" s="270"/>
      <c r="N20" s="289"/>
      <c r="O20" s="290"/>
      <c r="P20" s="290"/>
      <c r="Q20" s="290"/>
      <c r="R20" s="291"/>
      <c r="S20" s="235">
        <f>SUM(N20:R20)</f>
        <v>0</v>
      </c>
      <c r="T20" s="833">
        <v>0</v>
      </c>
      <c r="U20" s="270"/>
      <c r="V20" s="292">
        <f t="shared" si="2"/>
        <v>18.7</v>
      </c>
      <c r="W20" s="292">
        <f t="shared" si="4"/>
        <v>12.3</v>
      </c>
      <c r="X20" s="292">
        <f t="shared" si="1"/>
        <v>65.77540106951872</v>
      </c>
    </row>
    <row r="21" spans="1:24" ht="21.75" customHeight="1">
      <c r="A21" s="172">
        <f t="shared" si="0"/>
        <v>13</v>
      </c>
      <c r="B21" s="200"/>
      <c r="C21" s="376"/>
      <c r="D21" s="377">
        <f>D20+1</f>
        <v>4</v>
      </c>
      <c r="E21" s="307" t="s">
        <v>519</v>
      </c>
      <c r="F21" s="193"/>
      <c r="G21" s="193"/>
      <c r="H21" s="193"/>
      <c r="I21" s="194">
        <v>13.5</v>
      </c>
      <c r="J21" s="195"/>
      <c r="K21" s="235">
        <f t="shared" si="3"/>
        <v>13.5</v>
      </c>
      <c r="L21" s="833">
        <v>0</v>
      </c>
      <c r="M21" s="270"/>
      <c r="N21" s="289"/>
      <c r="O21" s="290"/>
      <c r="P21" s="290"/>
      <c r="Q21" s="290"/>
      <c r="R21" s="291"/>
      <c r="S21" s="235">
        <f>SUM(N21:R21)</f>
        <v>0</v>
      </c>
      <c r="T21" s="833">
        <v>0</v>
      </c>
      <c r="U21" s="270"/>
      <c r="V21" s="235">
        <f t="shared" si="2"/>
        <v>13.5</v>
      </c>
      <c r="W21" s="235">
        <f t="shared" si="4"/>
        <v>0</v>
      </c>
      <c r="X21" s="235">
        <f t="shared" si="1"/>
        <v>0</v>
      </c>
    </row>
    <row r="22" spans="1:24" ht="21.75" customHeight="1">
      <c r="A22" s="172">
        <f t="shared" si="0"/>
        <v>14</v>
      </c>
      <c r="B22" s="173">
        <v>3</v>
      </c>
      <c r="C22" s="174" t="s">
        <v>278</v>
      </c>
      <c r="D22" s="175"/>
      <c r="E22" s="276"/>
      <c r="F22" s="176"/>
      <c r="G22" s="176"/>
      <c r="H22" s="176"/>
      <c r="I22" s="176">
        <f>I23</f>
        <v>112.8</v>
      </c>
      <c r="J22" s="177"/>
      <c r="K22" s="180">
        <f t="shared" si="3"/>
        <v>112.8</v>
      </c>
      <c r="L22" s="277">
        <f>+L23</f>
        <v>111.3</v>
      </c>
      <c r="M22" s="298"/>
      <c r="N22" s="312"/>
      <c r="O22" s="176"/>
      <c r="P22" s="176"/>
      <c r="Q22" s="176"/>
      <c r="R22" s="177"/>
      <c r="S22" s="180">
        <f>SUM(N22:R22)</f>
        <v>0</v>
      </c>
      <c r="T22" s="277">
        <f>+T23</f>
        <v>0</v>
      </c>
      <c r="U22" s="298"/>
      <c r="V22" s="180">
        <f t="shared" si="2"/>
        <v>112.8</v>
      </c>
      <c r="W22" s="386">
        <f>+L22+T22</f>
        <v>111.3</v>
      </c>
      <c r="X22" s="180">
        <f t="shared" si="1"/>
        <v>98.67021276595744</v>
      </c>
    </row>
    <row r="23" spans="1:24" ht="21.75" customHeight="1">
      <c r="A23" s="172">
        <f t="shared" si="0"/>
        <v>15</v>
      </c>
      <c r="B23" s="181"/>
      <c r="C23" s="182" t="s">
        <v>99</v>
      </c>
      <c r="D23" s="183" t="s">
        <v>106</v>
      </c>
      <c r="E23" s="279"/>
      <c r="F23" s="185"/>
      <c r="G23" s="185"/>
      <c r="H23" s="185"/>
      <c r="I23" s="185">
        <f>SUM(I24:I25)</f>
        <v>112.8</v>
      </c>
      <c r="J23" s="186"/>
      <c r="K23" s="234">
        <f>SUM(K24:K25)</f>
        <v>112.8</v>
      </c>
      <c r="L23" s="313">
        <f>SUM(L24:L25)</f>
        <v>111.3</v>
      </c>
      <c r="M23" s="314"/>
      <c r="N23" s="315"/>
      <c r="O23" s="316"/>
      <c r="P23" s="316"/>
      <c r="Q23" s="316"/>
      <c r="R23" s="317"/>
      <c r="S23" s="234">
        <f>SUM(S24:S25)</f>
        <v>0</v>
      </c>
      <c r="T23" s="313">
        <f>SUM(T24:T25)</f>
        <v>0</v>
      </c>
      <c r="U23" s="314"/>
      <c r="V23" s="318">
        <f t="shared" si="2"/>
        <v>112.8</v>
      </c>
      <c r="W23" s="313">
        <f>SUM(W24:W25)</f>
        <v>111.3</v>
      </c>
      <c r="X23" s="318">
        <f t="shared" si="1"/>
        <v>98.67021276595744</v>
      </c>
    </row>
    <row r="24" spans="1:24" ht="21.75" customHeight="1">
      <c r="A24" s="172">
        <f t="shared" si="0"/>
        <v>16</v>
      </c>
      <c r="B24" s="200"/>
      <c r="C24" s="190"/>
      <c r="D24" s="191" t="s">
        <v>21</v>
      </c>
      <c r="E24" s="288" t="s">
        <v>280</v>
      </c>
      <c r="F24" s="193"/>
      <c r="G24" s="193"/>
      <c r="H24" s="193"/>
      <c r="I24" s="194">
        <v>75.8</v>
      </c>
      <c r="J24" s="195"/>
      <c r="K24" s="235">
        <f t="shared" si="3"/>
        <v>75.8</v>
      </c>
      <c r="L24" s="833">
        <f>71+3.3</f>
        <v>74.3</v>
      </c>
      <c r="M24" s="270"/>
      <c r="N24" s="289"/>
      <c r="O24" s="290"/>
      <c r="P24" s="290"/>
      <c r="Q24" s="290"/>
      <c r="R24" s="291"/>
      <c r="S24" s="235">
        <f>SUM(N24:R24)</f>
        <v>0</v>
      </c>
      <c r="T24" s="833">
        <v>0</v>
      </c>
      <c r="U24" s="270"/>
      <c r="V24" s="235">
        <f t="shared" si="2"/>
        <v>75.8</v>
      </c>
      <c r="W24" s="235">
        <f t="shared" si="4"/>
        <v>74.3</v>
      </c>
      <c r="X24" s="235">
        <f t="shared" si="1"/>
        <v>98.02110817941953</v>
      </c>
    </row>
    <row r="25" spans="1:24" ht="21.75" customHeight="1" thickBot="1">
      <c r="A25" s="214">
        <f t="shared" si="0"/>
        <v>17</v>
      </c>
      <c r="B25" s="319"/>
      <c r="C25" s="216"/>
      <c r="D25" s="320" t="s">
        <v>22</v>
      </c>
      <c r="E25" s="321" t="s">
        <v>279</v>
      </c>
      <c r="F25" s="219"/>
      <c r="G25" s="219"/>
      <c r="H25" s="219"/>
      <c r="I25" s="322">
        <v>37</v>
      </c>
      <c r="J25" s="228"/>
      <c r="K25" s="236">
        <f t="shared" si="3"/>
        <v>37</v>
      </c>
      <c r="L25" s="834">
        <v>37</v>
      </c>
      <c r="M25" s="323"/>
      <c r="N25" s="324"/>
      <c r="O25" s="219"/>
      <c r="P25" s="219"/>
      <c r="Q25" s="219"/>
      <c r="R25" s="228"/>
      <c r="S25" s="236">
        <f>SUM(N25:R25)</f>
        <v>0</v>
      </c>
      <c r="T25" s="834">
        <v>0</v>
      </c>
      <c r="U25" s="323"/>
      <c r="V25" s="236">
        <f t="shared" si="2"/>
        <v>37</v>
      </c>
      <c r="W25" s="236">
        <f t="shared" si="4"/>
        <v>37</v>
      </c>
      <c r="X25" s="236">
        <f t="shared" si="1"/>
        <v>100</v>
      </c>
    </row>
    <row r="26" spans="1:22" ht="12.75">
      <c r="A26" s="325"/>
      <c r="B26" s="326"/>
      <c r="C26" s="327"/>
      <c r="D26" s="328"/>
      <c r="E26" s="328"/>
      <c r="F26" s="328"/>
      <c r="G26" s="328"/>
      <c r="H26" s="328"/>
      <c r="I26" s="328"/>
      <c r="J26" s="328"/>
      <c r="K26" s="328"/>
      <c r="L26" s="835"/>
      <c r="M26" s="328"/>
      <c r="N26" s="328"/>
      <c r="O26" s="328"/>
      <c r="P26" s="328"/>
      <c r="Q26" s="328"/>
      <c r="R26" s="328"/>
      <c r="S26" s="328"/>
      <c r="T26" s="328"/>
      <c r="U26" s="328"/>
      <c r="V26" s="329"/>
    </row>
    <row r="27" spans="1:22" ht="12.75">
      <c r="A27" s="330"/>
      <c r="B27" s="31"/>
      <c r="C27" s="331"/>
      <c r="D27" s="332"/>
      <c r="E27" s="333"/>
      <c r="F27" s="334"/>
      <c r="G27" s="334"/>
      <c r="H27" s="335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</row>
    <row r="28" spans="1:22" ht="12.75">
      <c r="A28" s="330"/>
      <c r="B28" s="31"/>
      <c r="C28" s="331"/>
      <c r="D28" s="336"/>
      <c r="E28" s="337"/>
      <c r="F28" s="338"/>
      <c r="G28" s="338"/>
      <c r="H28" s="339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40"/>
    </row>
    <row r="29" spans="1:22" ht="15">
      <c r="A29" s="330"/>
      <c r="B29" s="21"/>
      <c r="C29" s="22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0"/>
    </row>
    <row r="30" spans="7:22" ht="12.75">
      <c r="G30" s="250"/>
      <c r="H30" s="250"/>
      <c r="I30" s="250"/>
      <c r="J30" s="250"/>
      <c r="K30" s="250"/>
      <c r="L30" s="250"/>
      <c r="N30" s="250"/>
      <c r="O30" s="250"/>
      <c r="P30" s="250"/>
      <c r="Q30" s="250"/>
      <c r="R30" s="250"/>
      <c r="S30" s="250"/>
      <c r="T30" s="250"/>
      <c r="V30" s="251"/>
    </row>
    <row r="31" spans="7:22" ht="12.75">
      <c r="G31" s="250"/>
      <c r="H31" s="250"/>
      <c r="I31" s="250"/>
      <c r="J31" s="250"/>
      <c r="K31" s="250"/>
      <c r="L31" s="250"/>
      <c r="N31" s="250"/>
      <c r="O31" s="250"/>
      <c r="P31" s="250"/>
      <c r="Q31" s="250"/>
      <c r="R31" s="250"/>
      <c r="S31" s="250"/>
      <c r="T31" s="250"/>
      <c r="V31" s="251"/>
    </row>
    <row r="48" ht="13.5" customHeight="1"/>
    <row r="49" ht="18.75" customHeight="1"/>
  </sheetData>
  <sheetProtection/>
  <mergeCells count="19">
    <mergeCell ref="A4:L4"/>
    <mergeCell ref="N5:T5"/>
    <mergeCell ref="P7:P8"/>
    <mergeCell ref="Q7:Q8"/>
    <mergeCell ref="O7:O8"/>
    <mergeCell ref="R7:R8"/>
    <mergeCell ref="T7:T8"/>
    <mergeCell ref="N7:N8"/>
    <mergeCell ref="F5:L5"/>
    <mergeCell ref="D6:L6"/>
    <mergeCell ref="F7:F8"/>
    <mergeCell ref="X7:X8"/>
    <mergeCell ref="J7:J8"/>
    <mergeCell ref="L7:L8"/>
    <mergeCell ref="G7:G8"/>
    <mergeCell ref="H7:H8"/>
    <mergeCell ref="I7:I8"/>
    <mergeCell ref="K7:K8"/>
    <mergeCell ref="S7:S8"/>
  </mergeCells>
  <printOptions horizontalCentered="1"/>
  <pageMargins left="0.16" right="0.15748031496062992" top="1.08" bottom="0.5905511811023623" header="0.62" footer="0.5118110236220472"/>
  <pageSetup horizontalDpi="600" verticalDpi="600" orientation="landscape" paperSize="9" scale="90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zoomScale="120" zoomScaleNormal="120" zoomScalePageLayoutView="0" workbookViewId="0" topLeftCell="A5">
      <selection activeCell="A4" sqref="A4:L4"/>
    </sheetView>
  </sheetViews>
  <sheetFormatPr defaultColWidth="9.140625" defaultRowHeight="12.75"/>
  <cols>
    <col min="1" max="1" width="3.8515625" style="148" customWidth="1"/>
    <col min="2" max="2" width="3.421875" style="149" customWidth="1"/>
    <col min="3" max="3" width="6.7109375" style="150" customWidth="1"/>
    <col min="4" max="4" width="2.00390625" style="150" customWidth="1"/>
    <col min="5" max="5" width="35.00390625" style="150" customWidth="1"/>
    <col min="6" max="6" width="7.28125" style="150" customWidth="1"/>
    <col min="7" max="7" width="6.28125" style="150" customWidth="1"/>
    <col min="8" max="8" width="6.140625" style="150" customWidth="1"/>
    <col min="9" max="9" width="5.28125" style="150" customWidth="1"/>
    <col min="10" max="10" width="6.57421875" style="150" bestFit="1" customWidth="1"/>
    <col min="11" max="11" width="8.00390625" style="150" bestFit="1" customWidth="1"/>
    <col min="12" max="12" width="0.5625" style="152" customWidth="1"/>
    <col min="13" max="13" width="3.8515625" style="150" customWidth="1"/>
    <col min="14" max="14" width="4.140625" style="150" customWidth="1"/>
    <col min="15" max="15" width="4.421875" style="150" bestFit="1" customWidth="1"/>
    <col min="16" max="16" width="4.00390625" style="150" customWidth="1"/>
    <col min="17" max="17" width="5.00390625" style="150" customWidth="1"/>
    <col min="18" max="18" width="6.140625" style="150" bestFit="1" customWidth="1"/>
    <col min="19" max="19" width="7.140625" style="150" customWidth="1"/>
    <col min="20" max="20" width="0.5625" style="152" customWidth="1"/>
    <col min="21" max="16384" width="9.140625" style="150" customWidth="1"/>
  </cols>
  <sheetData>
    <row r="1" spans="11:21" ht="16.5" customHeight="1">
      <c r="K1" s="151"/>
      <c r="S1" s="153"/>
      <c r="U1" s="153"/>
    </row>
    <row r="2" spans="2:21" ht="18.75">
      <c r="B2" s="249" t="s">
        <v>162</v>
      </c>
      <c r="H2" s="153"/>
      <c r="U2" s="153"/>
    </row>
    <row r="3" ht="13.5" thickBot="1"/>
    <row r="4" spans="1:23" ht="18.75" customHeight="1" thickBot="1">
      <c r="A4" s="1135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413"/>
      <c r="N4" s="414"/>
      <c r="O4" s="414"/>
      <c r="P4" s="414"/>
      <c r="Q4" s="414"/>
      <c r="R4" s="414"/>
      <c r="S4" s="415"/>
      <c r="T4" s="270"/>
      <c r="U4" s="443"/>
      <c r="V4" s="239"/>
      <c r="W4" s="240"/>
    </row>
    <row r="5" spans="1:23" ht="18.75" customHeight="1">
      <c r="A5" s="257"/>
      <c r="B5" s="258"/>
      <c r="C5" s="259"/>
      <c r="D5" s="260"/>
      <c r="E5" s="416"/>
      <c r="F5" s="1143" t="s">
        <v>30</v>
      </c>
      <c r="G5" s="1139"/>
      <c r="H5" s="1139"/>
      <c r="I5" s="1139"/>
      <c r="J5" s="1139"/>
      <c r="K5" s="1140"/>
      <c r="L5" s="262"/>
      <c r="M5" s="1138" t="s">
        <v>29</v>
      </c>
      <c r="N5" s="1149"/>
      <c r="O5" s="1149"/>
      <c r="P5" s="1149"/>
      <c r="Q5" s="1149"/>
      <c r="R5" s="1149"/>
      <c r="S5" s="1150"/>
      <c r="T5" s="270"/>
      <c r="U5" s="444" t="s">
        <v>31</v>
      </c>
      <c r="V5" s="60" t="s">
        <v>558</v>
      </c>
      <c r="W5" s="59" t="s">
        <v>558</v>
      </c>
    </row>
    <row r="6" spans="1:23" ht="13.5" thickBot="1">
      <c r="A6" s="161"/>
      <c r="B6" s="147" t="s">
        <v>65</v>
      </c>
      <c r="C6" s="263" t="s">
        <v>27</v>
      </c>
      <c r="D6" s="869"/>
      <c r="E6" s="870"/>
      <c r="F6" s="866" t="s">
        <v>28</v>
      </c>
      <c r="G6" s="243"/>
      <c r="H6" s="243"/>
      <c r="I6" s="243"/>
      <c r="J6" s="243"/>
      <c r="K6" s="871"/>
      <c r="L6" s="31"/>
      <c r="M6" s="872"/>
      <c r="N6" s="243"/>
      <c r="O6" s="243"/>
      <c r="P6" s="243"/>
      <c r="Q6" s="243"/>
      <c r="R6" s="243"/>
      <c r="S6" s="871"/>
      <c r="T6" s="270"/>
      <c r="U6" s="444"/>
      <c r="V6" s="60" t="s">
        <v>559</v>
      </c>
      <c r="W6" s="59" t="s">
        <v>559</v>
      </c>
    </row>
    <row r="7" spans="1:23" ht="12.75">
      <c r="A7" s="257"/>
      <c r="B7" s="873" t="s">
        <v>66</v>
      </c>
      <c r="C7" s="874" t="s">
        <v>64</v>
      </c>
      <c r="D7" s="260"/>
      <c r="E7" s="875" t="s">
        <v>20</v>
      </c>
      <c r="F7" s="1151">
        <v>610</v>
      </c>
      <c r="G7" s="1152">
        <v>620</v>
      </c>
      <c r="H7" s="1152">
        <v>630</v>
      </c>
      <c r="I7" s="1153">
        <v>640</v>
      </c>
      <c r="J7" s="1119" t="s">
        <v>562</v>
      </c>
      <c r="K7" s="1147" t="s">
        <v>558</v>
      </c>
      <c r="L7" s="876"/>
      <c r="M7" s="1154">
        <v>711</v>
      </c>
      <c r="N7" s="1148">
        <v>713</v>
      </c>
      <c r="O7" s="1148">
        <v>714</v>
      </c>
      <c r="P7" s="1148">
        <v>716</v>
      </c>
      <c r="Q7" s="1148">
        <v>717</v>
      </c>
      <c r="R7" s="1119" t="s">
        <v>562</v>
      </c>
      <c r="S7" s="1147" t="s">
        <v>558</v>
      </c>
      <c r="T7" s="877"/>
      <c r="U7" s="878" t="s">
        <v>49</v>
      </c>
      <c r="V7" s="782" t="s">
        <v>49</v>
      </c>
      <c r="W7" s="1145" t="s">
        <v>560</v>
      </c>
    </row>
    <row r="8" spans="1:23" ht="13.5" thickBot="1">
      <c r="A8" s="165"/>
      <c r="B8" s="145"/>
      <c r="C8" s="166"/>
      <c r="D8" s="267"/>
      <c r="E8" s="419"/>
      <c r="F8" s="1130"/>
      <c r="G8" s="1110"/>
      <c r="H8" s="1110"/>
      <c r="I8" s="1132"/>
      <c r="J8" s="1120"/>
      <c r="K8" s="1134"/>
      <c r="L8" s="31"/>
      <c r="M8" s="1141"/>
      <c r="N8" s="1107"/>
      <c r="O8" s="1107"/>
      <c r="P8" s="1107"/>
      <c r="Q8" s="1107"/>
      <c r="R8" s="1120"/>
      <c r="S8" s="1134"/>
      <c r="T8" s="270"/>
      <c r="U8" s="444">
        <v>2010</v>
      </c>
      <c r="V8" s="60" t="s">
        <v>561</v>
      </c>
      <c r="W8" s="1146"/>
    </row>
    <row r="9" spans="1:23" ht="18.75" customHeight="1" thickBot="1" thickTop="1">
      <c r="A9" s="582">
        <v>1</v>
      </c>
      <c r="B9" s="687" t="s">
        <v>451</v>
      </c>
      <c r="C9" s="11"/>
      <c r="D9" s="406"/>
      <c r="E9" s="485"/>
      <c r="F9" s="407">
        <f aca="true" t="shared" si="0" ref="F9:L9">F10+F18</f>
        <v>69.2</v>
      </c>
      <c r="G9" s="407">
        <f t="shared" si="0"/>
        <v>25.8</v>
      </c>
      <c r="H9" s="407">
        <f t="shared" si="0"/>
        <v>5.300000000000001</v>
      </c>
      <c r="I9" s="688">
        <f t="shared" si="0"/>
        <v>0.8</v>
      </c>
      <c r="J9" s="274">
        <f>SUM(F9:I9)</f>
        <v>101.1</v>
      </c>
      <c r="K9" s="275">
        <f>K10+K18</f>
        <v>97.00000000000001</v>
      </c>
      <c r="L9" s="274">
        <f t="shared" si="0"/>
        <v>0</v>
      </c>
      <c r="M9" s="271">
        <f>+M10+M18</f>
        <v>0</v>
      </c>
      <c r="N9" s="407">
        <f>+N10+N18</f>
        <v>0</v>
      </c>
      <c r="O9" s="407">
        <f>+O10+O18</f>
        <v>0</v>
      </c>
      <c r="P9" s="407">
        <f>+P10+P18</f>
        <v>0</v>
      </c>
      <c r="Q9" s="407">
        <f>+Q10+Q18</f>
        <v>0</v>
      </c>
      <c r="R9" s="274">
        <f>SUM(M9:Q9)</f>
        <v>0</v>
      </c>
      <c r="S9" s="275">
        <f>S10+S18</f>
        <v>0</v>
      </c>
      <c r="T9" s="408"/>
      <c r="U9" s="685">
        <f>J10+R18</f>
        <v>100.3</v>
      </c>
      <c r="V9" s="274">
        <f>+K9+S9</f>
        <v>97.00000000000001</v>
      </c>
      <c r="W9" s="275">
        <f>+V9/U9*100</f>
        <v>96.70987038883352</v>
      </c>
    </row>
    <row r="10" spans="1:23" ht="19.5" customHeight="1" thickTop="1">
      <c r="A10" s="171">
        <f aca="true" t="shared" si="1" ref="A10:A20">A9+1</f>
        <v>2</v>
      </c>
      <c r="B10" s="379">
        <v>1</v>
      </c>
      <c r="C10" s="380" t="s">
        <v>100</v>
      </c>
      <c r="D10" s="381"/>
      <c r="E10" s="686"/>
      <c r="F10" s="584">
        <f>F11</f>
        <v>69.2</v>
      </c>
      <c r="G10" s="382">
        <f>G11</f>
        <v>25.8</v>
      </c>
      <c r="H10" s="382">
        <f>H11</f>
        <v>5.300000000000001</v>
      </c>
      <c r="I10" s="383"/>
      <c r="J10" s="384">
        <f>SUM(F10:I10)</f>
        <v>100.3</v>
      </c>
      <c r="K10" s="386">
        <f>+K11</f>
        <v>96.10000000000001</v>
      </c>
      <c r="L10" s="427"/>
      <c r="M10" s="584"/>
      <c r="N10" s="382"/>
      <c r="O10" s="382"/>
      <c r="P10" s="382"/>
      <c r="Q10" s="382"/>
      <c r="R10" s="384">
        <f>SUM(M10:Q10)</f>
        <v>0</v>
      </c>
      <c r="S10" s="386">
        <f>+S11</f>
        <v>0</v>
      </c>
      <c r="T10" s="270"/>
      <c r="U10" s="683">
        <f>J10+R10</f>
        <v>100.3</v>
      </c>
      <c r="V10" s="384">
        <f>+K10+S10</f>
        <v>96.10000000000001</v>
      </c>
      <c r="W10" s="386">
        <f aca="true" t="shared" si="2" ref="W10:W20">+V10/U10*100</f>
        <v>95.81256231306084</v>
      </c>
    </row>
    <row r="11" spans="1:23" ht="19.5" customHeight="1">
      <c r="A11" s="172">
        <f t="shared" si="1"/>
        <v>3</v>
      </c>
      <c r="B11" s="181"/>
      <c r="C11" s="182" t="s">
        <v>72</v>
      </c>
      <c r="D11" s="183" t="s">
        <v>101</v>
      </c>
      <c r="E11" s="302"/>
      <c r="F11" s="428">
        <f>SUM(F12:F17)</f>
        <v>69.2</v>
      </c>
      <c r="G11" s="185">
        <f>SUM(G12:G17)</f>
        <v>25.8</v>
      </c>
      <c r="H11" s="185">
        <f>SUM(H12:H17)</f>
        <v>5.300000000000001</v>
      </c>
      <c r="I11" s="186"/>
      <c r="J11" s="189">
        <f>SUM(J12:J17)</f>
        <v>100.3</v>
      </c>
      <c r="K11" s="282">
        <f>SUM(K12:K17)</f>
        <v>96.10000000000001</v>
      </c>
      <c r="L11" s="314"/>
      <c r="M11" s="428"/>
      <c r="N11" s="185"/>
      <c r="O11" s="185"/>
      <c r="P11" s="185"/>
      <c r="Q11" s="185"/>
      <c r="R11" s="189">
        <f>SUM(R12:R17)</f>
        <v>0</v>
      </c>
      <c r="S11" s="282">
        <f>SUM(S12:S17)</f>
        <v>0</v>
      </c>
      <c r="T11" s="270"/>
      <c r="U11" s="445">
        <f>SUM(U12:U17)</f>
        <v>100.3</v>
      </c>
      <c r="V11" s="234">
        <f>SUM(V12:V17)</f>
        <v>0</v>
      </c>
      <c r="W11" s="313">
        <f t="shared" si="2"/>
        <v>0</v>
      </c>
    </row>
    <row r="12" spans="1:23" ht="19.5" customHeight="1">
      <c r="A12" s="172">
        <f t="shared" si="1"/>
        <v>4</v>
      </c>
      <c r="B12" s="181"/>
      <c r="C12" s="376"/>
      <c r="D12" s="191" t="s">
        <v>21</v>
      </c>
      <c r="E12" s="650" t="s">
        <v>456</v>
      </c>
      <c r="F12" s="430">
        <v>69.2</v>
      </c>
      <c r="G12" s="194"/>
      <c r="H12" s="194"/>
      <c r="I12" s="434"/>
      <c r="J12" s="235">
        <f aca="true" t="shared" si="3" ref="J12:J18">SUM(F12:I12)</f>
        <v>69.2</v>
      </c>
      <c r="K12" s="833">
        <v>64.9</v>
      </c>
      <c r="L12" s="270"/>
      <c r="M12" s="295"/>
      <c r="N12" s="193"/>
      <c r="O12" s="193"/>
      <c r="P12" s="193"/>
      <c r="Q12" s="193"/>
      <c r="R12" s="235">
        <f aca="true" t="shared" si="4" ref="R12:R17">SUM(M12:Q12)</f>
        <v>0</v>
      </c>
      <c r="S12" s="833">
        <v>0</v>
      </c>
      <c r="T12" s="270"/>
      <c r="U12" s="446">
        <f aca="true" t="shared" si="5" ref="U12:U18">J12+R12</f>
        <v>69.2</v>
      </c>
      <c r="V12" s="199">
        <f aca="true" t="shared" si="6" ref="V12:V17">L12+T12</f>
        <v>0</v>
      </c>
      <c r="W12" s="351">
        <f t="shared" si="2"/>
        <v>0</v>
      </c>
    </row>
    <row r="13" spans="1:23" ht="19.5" customHeight="1">
      <c r="A13" s="172">
        <f t="shared" si="1"/>
        <v>5</v>
      </c>
      <c r="B13" s="181"/>
      <c r="C13" s="376"/>
      <c r="D13" s="377">
        <f>D12+1</f>
        <v>2</v>
      </c>
      <c r="E13" s="650" t="s">
        <v>97</v>
      </c>
      <c r="F13" s="430"/>
      <c r="G13" s="194">
        <v>25.8</v>
      </c>
      <c r="H13" s="194"/>
      <c r="I13" s="434"/>
      <c r="J13" s="235">
        <f t="shared" si="3"/>
        <v>25.8</v>
      </c>
      <c r="K13" s="833">
        <v>25.3</v>
      </c>
      <c r="L13" s="270"/>
      <c r="M13" s="295"/>
      <c r="N13" s="193"/>
      <c r="O13" s="193"/>
      <c r="P13" s="193"/>
      <c r="Q13" s="193"/>
      <c r="R13" s="235">
        <f t="shared" si="4"/>
        <v>0</v>
      </c>
      <c r="S13" s="833">
        <f>SUM(N13:Q13)</f>
        <v>0</v>
      </c>
      <c r="T13" s="270"/>
      <c r="U13" s="446">
        <f t="shared" si="5"/>
        <v>25.8</v>
      </c>
      <c r="V13" s="199">
        <f t="shared" si="6"/>
        <v>0</v>
      </c>
      <c r="W13" s="351">
        <f t="shared" si="2"/>
        <v>0</v>
      </c>
    </row>
    <row r="14" spans="1:23" ht="19.5" customHeight="1">
      <c r="A14" s="172">
        <f t="shared" si="1"/>
        <v>6</v>
      </c>
      <c r="B14" s="181"/>
      <c r="C14" s="376"/>
      <c r="D14" s="377">
        <f>D13+1</f>
        <v>3</v>
      </c>
      <c r="E14" s="650" t="s">
        <v>11</v>
      </c>
      <c r="F14" s="430"/>
      <c r="G14" s="194"/>
      <c r="H14" s="194">
        <v>2.5</v>
      </c>
      <c r="I14" s="434"/>
      <c r="J14" s="235">
        <f t="shared" si="3"/>
        <v>2.5</v>
      </c>
      <c r="K14" s="833">
        <v>2.5</v>
      </c>
      <c r="L14" s="270"/>
      <c r="M14" s="295"/>
      <c r="N14" s="193"/>
      <c r="O14" s="193"/>
      <c r="P14" s="193"/>
      <c r="Q14" s="193"/>
      <c r="R14" s="235">
        <f t="shared" si="4"/>
        <v>0</v>
      </c>
      <c r="S14" s="833">
        <f>SUM(N14:Q14)</f>
        <v>0</v>
      </c>
      <c r="T14" s="270"/>
      <c r="U14" s="446">
        <f t="shared" si="5"/>
        <v>2.5</v>
      </c>
      <c r="V14" s="199">
        <f t="shared" si="6"/>
        <v>0</v>
      </c>
      <c r="W14" s="351">
        <f t="shared" si="2"/>
        <v>0</v>
      </c>
    </row>
    <row r="15" spans="1:23" ht="19.5" customHeight="1">
      <c r="A15" s="172">
        <f t="shared" si="1"/>
        <v>7</v>
      </c>
      <c r="B15" s="181"/>
      <c r="C15" s="376"/>
      <c r="D15" s="377">
        <f>D14+1</f>
        <v>4</v>
      </c>
      <c r="E15" s="650" t="s">
        <v>167</v>
      </c>
      <c r="F15" s="430"/>
      <c r="G15" s="194"/>
      <c r="H15" s="194">
        <v>0.7</v>
      </c>
      <c r="I15" s="434"/>
      <c r="J15" s="235">
        <f t="shared" si="3"/>
        <v>0.7</v>
      </c>
      <c r="K15" s="833">
        <v>0.7</v>
      </c>
      <c r="L15" s="270"/>
      <c r="M15" s="295"/>
      <c r="N15" s="193"/>
      <c r="O15" s="193"/>
      <c r="P15" s="193"/>
      <c r="Q15" s="193"/>
      <c r="R15" s="235">
        <f t="shared" si="4"/>
        <v>0</v>
      </c>
      <c r="S15" s="833">
        <f>SUM(N15:Q15)</f>
        <v>0</v>
      </c>
      <c r="T15" s="270"/>
      <c r="U15" s="446">
        <f t="shared" si="5"/>
        <v>0.7</v>
      </c>
      <c r="V15" s="199">
        <f t="shared" si="6"/>
        <v>0</v>
      </c>
      <c r="W15" s="351">
        <f t="shared" si="2"/>
        <v>0</v>
      </c>
    </row>
    <row r="16" spans="1:23" ht="19.5" customHeight="1">
      <c r="A16" s="172">
        <f t="shared" si="1"/>
        <v>8</v>
      </c>
      <c r="B16" s="181"/>
      <c r="C16" s="376"/>
      <c r="D16" s="377">
        <f>D15+1</f>
        <v>5</v>
      </c>
      <c r="E16" s="651" t="s">
        <v>169</v>
      </c>
      <c r="F16" s="430"/>
      <c r="G16" s="194"/>
      <c r="H16" s="194">
        <v>1.6</v>
      </c>
      <c r="I16" s="434"/>
      <c r="J16" s="235">
        <f t="shared" si="3"/>
        <v>1.6</v>
      </c>
      <c r="K16" s="833">
        <v>2.4</v>
      </c>
      <c r="L16" s="270"/>
      <c r="M16" s="295"/>
      <c r="N16" s="193"/>
      <c r="O16" s="193"/>
      <c r="P16" s="193"/>
      <c r="Q16" s="193"/>
      <c r="R16" s="235">
        <f t="shared" si="4"/>
        <v>0</v>
      </c>
      <c r="S16" s="833">
        <f>SUM(N16:Q16)</f>
        <v>0</v>
      </c>
      <c r="T16" s="270"/>
      <c r="U16" s="446">
        <f t="shared" si="5"/>
        <v>1.6</v>
      </c>
      <c r="V16" s="199">
        <f t="shared" si="6"/>
        <v>0</v>
      </c>
      <c r="W16" s="351">
        <f t="shared" si="2"/>
        <v>0</v>
      </c>
    </row>
    <row r="17" spans="1:23" ht="19.5" customHeight="1">
      <c r="A17" s="172">
        <f t="shared" si="1"/>
        <v>9</v>
      </c>
      <c r="B17" s="181"/>
      <c r="C17" s="376"/>
      <c r="D17" s="377">
        <f>D16+1</f>
        <v>6</v>
      </c>
      <c r="E17" s="651" t="s">
        <v>168</v>
      </c>
      <c r="F17" s="430"/>
      <c r="G17" s="194"/>
      <c r="H17" s="194">
        <v>0.5</v>
      </c>
      <c r="I17" s="434"/>
      <c r="J17" s="235">
        <f t="shared" si="3"/>
        <v>0.5</v>
      </c>
      <c r="K17" s="833">
        <v>0.3</v>
      </c>
      <c r="L17" s="270"/>
      <c r="M17" s="295"/>
      <c r="N17" s="193"/>
      <c r="O17" s="193"/>
      <c r="P17" s="193"/>
      <c r="Q17" s="193"/>
      <c r="R17" s="235">
        <f t="shared" si="4"/>
        <v>0</v>
      </c>
      <c r="S17" s="833">
        <f>SUM(N17:Q17)</f>
        <v>0</v>
      </c>
      <c r="T17" s="270"/>
      <c r="U17" s="446">
        <f t="shared" si="5"/>
        <v>0.5</v>
      </c>
      <c r="V17" s="199">
        <f t="shared" si="6"/>
        <v>0</v>
      </c>
      <c r="W17" s="351">
        <f t="shared" si="2"/>
        <v>0</v>
      </c>
    </row>
    <row r="18" spans="1:23" ht="19.5" customHeight="1">
      <c r="A18" s="172">
        <f t="shared" si="1"/>
        <v>10</v>
      </c>
      <c r="B18" s="173">
        <v>2</v>
      </c>
      <c r="C18" s="174" t="s">
        <v>74</v>
      </c>
      <c r="D18" s="175"/>
      <c r="E18" s="276"/>
      <c r="F18" s="312"/>
      <c r="G18" s="176"/>
      <c r="H18" s="176"/>
      <c r="I18" s="177">
        <f>I19</f>
        <v>0.8</v>
      </c>
      <c r="J18" s="384">
        <f t="shared" si="3"/>
        <v>0.8</v>
      </c>
      <c r="K18" s="386">
        <f>+K19</f>
        <v>0.9</v>
      </c>
      <c r="L18" s="298"/>
      <c r="M18" s="312"/>
      <c r="N18" s="176"/>
      <c r="O18" s="176"/>
      <c r="P18" s="176"/>
      <c r="Q18" s="176"/>
      <c r="R18" s="180">
        <f>SUM(M18:Q18)</f>
        <v>0</v>
      </c>
      <c r="S18" s="386">
        <f>+S19</f>
        <v>0</v>
      </c>
      <c r="T18" s="298"/>
      <c r="U18" s="447">
        <f t="shared" si="5"/>
        <v>0.8</v>
      </c>
      <c r="V18" s="180">
        <f>+K18+S18</f>
        <v>0.9</v>
      </c>
      <c r="W18" s="449">
        <f t="shared" si="2"/>
        <v>112.5</v>
      </c>
    </row>
    <row r="19" spans="1:23" ht="19.5" customHeight="1">
      <c r="A19" s="172">
        <f t="shared" si="1"/>
        <v>11</v>
      </c>
      <c r="B19" s="181"/>
      <c r="C19" s="182" t="s">
        <v>73</v>
      </c>
      <c r="D19" s="183" t="s">
        <v>74</v>
      </c>
      <c r="E19" s="423"/>
      <c r="F19" s="428"/>
      <c r="G19" s="185"/>
      <c r="H19" s="185"/>
      <c r="I19" s="186">
        <f>SUM(I20:I20)</f>
        <v>0.8</v>
      </c>
      <c r="J19" s="234">
        <f>+J20</f>
        <v>0.8</v>
      </c>
      <c r="K19" s="313">
        <f>+K20</f>
        <v>0.9</v>
      </c>
      <c r="L19" s="314"/>
      <c r="M19" s="428"/>
      <c r="N19" s="185"/>
      <c r="O19" s="185"/>
      <c r="P19" s="185"/>
      <c r="Q19" s="185"/>
      <c r="R19" s="234">
        <f>+R20</f>
        <v>0</v>
      </c>
      <c r="S19" s="313">
        <f>+S20</f>
        <v>0</v>
      </c>
      <c r="T19" s="314"/>
      <c r="U19" s="445">
        <f>+U20</f>
        <v>0.8</v>
      </c>
      <c r="V19" s="234">
        <f>+V20</f>
        <v>0.9</v>
      </c>
      <c r="W19" s="313">
        <f t="shared" si="2"/>
        <v>112.5</v>
      </c>
    </row>
    <row r="20" spans="1:23" ht="19.5" customHeight="1" thickBot="1">
      <c r="A20" s="214">
        <f t="shared" si="1"/>
        <v>12</v>
      </c>
      <c r="B20" s="319"/>
      <c r="C20" s="216"/>
      <c r="D20" s="424">
        <v>1</v>
      </c>
      <c r="E20" s="425" t="s">
        <v>41</v>
      </c>
      <c r="F20" s="324"/>
      <c r="G20" s="219"/>
      <c r="H20" s="219"/>
      <c r="I20" s="435">
        <v>0.8</v>
      </c>
      <c r="J20" s="441">
        <f>SUM(F20:I20)</f>
        <v>0.8</v>
      </c>
      <c r="K20" s="836">
        <v>0.9</v>
      </c>
      <c r="L20" s="323"/>
      <c r="M20" s="324"/>
      <c r="N20" s="219"/>
      <c r="O20" s="219"/>
      <c r="P20" s="219"/>
      <c r="Q20" s="219"/>
      <c r="R20" s="441">
        <f>SUM(M20:Q20)</f>
        <v>0</v>
      </c>
      <c r="S20" s="836">
        <f>SUM(N20:Q20)</f>
        <v>0</v>
      </c>
      <c r="T20" s="323"/>
      <c r="U20" s="448">
        <f>+J20+R20</f>
        <v>0.8</v>
      </c>
      <c r="V20" s="223">
        <f>+K20+S20</f>
        <v>0.9</v>
      </c>
      <c r="W20" s="405">
        <f t="shared" si="2"/>
        <v>112.5</v>
      </c>
    </row>
    <row r="22" spans="7:14" ht="12.75">
      <c r="G22" s="152"/>
      <c r="H22" s="152"/>
      <c r="I22" s="152"/>
      <c r="J22" s="152"/>
      <c r="K22" s="837"/>
      <c r="M22" s="152"/>
      <c r="N22" s="152"/>
    </row>
  </sheetData>
  <sheetProtection/>
  <mergeCells count="17">
    <mergeCell ref="F5:K5"/>
    <mergeCell ref="K7:K8"/>
    <mergeCell ref="P7:P8"/>
    <mergeCell ref="M7:M8"/>
    <mergeCell ref="N7:N8"/>
    <mergeCell ref="O7:O8"/>
    <mergeCell ref="J7:J8"/>
    <mergeCell ref="R7:R8"/>
    <mergeCell ref="W7:W8"/>
    <mergeCell ref="A4:L4"/>
    <mergeCell ref="S7:S8"/>
    <mergeCell ref="Q7:Q8"/>
    <mergeCell ref="M5:S5"/>
    <mergeCell ref="F7:F8"/>
    <mergeCell ref="G7:G8"/>
    <mergeCell ref="H7:H8"/>
    <mergeCell ref="I7:I8"/>
  </mergeCells>
  <printOptions horizontalCentered="1"/>
  <pageMargins left="0.4724409448818898" right="0.2755905511811024" top="1.52" bottom="0.6692913385826772" header="0.79" footer="0.5118110236220472"/>
  <pageSetup horizontalDpi="600" verticalDpi="600" orientation="landscape" paperSize="9" scale="89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"/>
  <sheetViews>
    <sheetView zoomScale="130" zoomScaleNormal="130" zoomScalePageLayoutView="0" workbookViewId="0" topLeftCell="C1">
      <selection activeCell="W14" sqref="W14"/>
    </sheetView>
  </sheetViews>
  <sheetFormatPr defaultColWidth="9.140625" defaultRowHeight="12.75"/>
  <cols>
    <col min="1" max="1" width="3.140625" style="148" customWidth="1"/>
    <col min="2" max="2" width="3.421875" style="149" customWidth="1"/>
    <col min="3" max="3" width="7.28125" style="150" customWidth="1"/>
    <col min="4" max="4" width="2.28125" style="150" customWidth="1"/>
    <col min="5" max="5" width="34.57421875" style="150" customWidth="1"/>
    <col min="6" max="6" width="3.7109375" style="150" customWidth="1"/>
    <col min="7" max="7" width="4.421875" style="150" customWidth="1"/>
    <col min="8" max="8" width="6.140625" style="150" customWidth="1"/>
    <col min="9" max="9" width="4.421875" style="150" customWidth="1"/>
    <col min="10" max="10" width="4.7109375" style="150" customWidth="1"/>
    <col min="11" max="11" width="6.140625" style="150" bestFit="1" customWidth="1"/>
    <col min="12" max="12" width="8.00390625" style="150" bestFit="1" customWidth="1"/>
    <col min="13" max="13" width="0.9921875" style="150" customWidth="1"/>
    <col min="14" max="14" width="3.28125" style="150" customWidth="1"/>
    <col min="15" max="15" width="3.7109375" style="150" customWidth="1"/>
    <col min="16" max="16" width="4.7109375" style="150" customWidth="1"/>
    <col min="17" max="17" width="4.8515625" style="150" customWidth="1"/>
    <col min="18" max="18" width="6.8515625" style="150" bestFit="1" customWidth="1"/>
    <col min="19" max="19" width="7.421875" style="150" customWidth="1"/>
    <col min="20" max="20" width="1.28515625" style="150" customWidth="1"/>
    <col min="21" max="21" width="9.00390625" style="250" customWidth="1"/>
    <col min="22" max="16384" width="9.140625" style="150" customWidth="1"/>
  </cols>
  <sheetData>
    <row r="1" spans="12:21" ht="12.75">
      <c r="L1" s="151"/>
      <c r="M1" s="250"/>
      <c r="S1" s="153"/>
      <c r="U1" s="251"/>
    </row>
    <row r="2" spans="2:21" ht="18.75">
      <c r="B2" s="249" t="s">
        <v>163</v>
      </c>
      <c r="M2" s="250"/>
      <c r="U2" s="251"/>
    </row>
    <row r="3" ht="13.5" thickBot="1">
      <c r="M3" s="250"/>
    </row>
    <row r="4" spans="1:23" ht="19.5" customHeight="1" thickBot="1">
      <c r="A4" s="1135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7"/>
      <c r="M4" s="455"/>
      <c r="N4" s="456"/>
      <c r="O4" s="457"/>
      <c r="P4" s="457"/>
      <c r="Q4" s="457"/>
      <c r="R4" s="457"/>
      <c r="S4" s="458"/>
      <c r="T4" s="156"/>
      <c r="U4" s="443"/>
      <c r="V4" s="239"/>
      <c r="W4" s="240"/>
    </row>
    <row r="5" spans="1:23" ht="18.75" customHeight="1">
      <c r="A5" s="257"/>
      <c r="B5" s="258"/>
      <c r="C5" s="259"/>
      <c r="D5" s="260"/>
      <c r="E5" s="261"/>
      <c r="F5" s="1138" t="s">
        <v>30</v>
      </c>
      <c r="G5" s="1139"/>
      <c r="H5" s="1139"/>
      <c r="I5" s="1139"/>
      <c r="J5" s="1139"/>
      <c r="K5" s="1139"/>
      <c r="L5" s="1140"/>
      <c r="M5" s="262"/>
      <c r="N5" s="1138" t="s">
        <v>29</v>
      </c>
      <c r="O5" s="1139"/>
      <c r="P5" s="1139"/>
      <c r="Q5" s="1139"/>
      <c r="R5" s="1139"/>
      <c r="S5" s="1140"/>
      <c r="T5" s="246"/>
      <c r="U5" s="444" t="s">
        <v>31</v>
      </c>
      <c r="V5" s="60" t="s">
        <v>558</v>
      </c>
      <c r="W5" s="59" t="s">
        <v>558</v>
      </c>
    </row>
    <row r="6" spans="1:23" ht="13.5" thickBot="1">
      <c r="A6" s="161"/>
      <c r="B6" s="147" t="s">
        <v>65</v>
      </c>
      <c r="C6" s="263" t="s">
        <v>27</v>
      </c>
      <c r="D6" s="459"/>
      <c r="E6" s="460"/>
      <c r="F6" s="1155" t="s">
        <v>28</v>
      </c>
      <c r="G6" s="1128"/>
      <c r="H6" s="1128"/>
      <c r="I6" s="1128"/>
      <c r="J6" s="1128"/>
      <c r="K6" s="1128"/>
      <c r="L6" s="1156"/>
      <c r="M6" s="31"/>
      <c r="N6" s="1155"/>
      <c r="O6" s="1128"/>
      <c r="P6" s="1128"/>
      <c r="Q6" s="1128"/>
      <c r="R6" s="1128"/>
      <c r="S6" s="1156"/>
      <c r="T6" s="246"/>
      <c r="U6" s="444"/>
      <c r="V6" s="60" t="s">
        <v>559</v>
      </c>
      <c r="W6" s="59" t="s">
        <v>559</v>
      </c>
    </row>
    <row r="7" spans="1:23" ht="12.75">
      <c r="A7" s="165"/>
      <c r="B7" s="145" t="s">
        <v>66</v>
      </c>
      <c r="C7" s="166" t="s">
        <v>64</v>
      </c>
      <c r="D7" s="267"/>
      <c r="E7" s="268" t="s">
        <v>20</v>
      </c>
      <c r="F7" s="1141">
        <v>610</v>
      </c>
      <c r="G7" s="1110">
        <v>620</v>
      </c>
      <c r="H7" s="1110">
        <v>630</v>
      </c>
      <c r="I7" s="1110">
        <v>640</v>
      </c>
      <c r="J7" s="1132">
        <v>650</v>
      </c>
      <c r="K7" s="1119" t="s">
        <v>562</v>
      </c>
      <c r="L7" s="1133" t="s">
        <v>558</v>
      </c>
      <c r="M7" s="31"/>
      <c r="N7" s="1141">
        <v>711</v>
      </c>
      <c r="O7" s="1107">
        <v>714</v>
      </c>
      <c r="P7" s="1110">
        <v>716</v>
      </c>
      <c r="Q7" s="1132">
        <v>717</v>
      </c>
      <c r="R7" s="1119" t="s">
        <v>562</v>
      </c>
      <c r="S7" s="1133" t="s">
        <v>558</v>
      </c>
      <c r="T7" s="152"/>
      <c r="U7" s="444" t="s">
        <v>49</v>
      </c>
      <c r="V7" s="60" t="s">
        <v>49</v>
      </c>
      <c r="W7" s="1146" t="s">
        <v>560</v>
      </c>
    </row>
    <row r="8" spans="1:23" ht="13.5" thickBot="1">
      <c r="A8" s="165"/>
      <c r="B8" s="145"/>
      <c r="C8" s="166"/>
      <c r="D8" s="267"/>
      <c r="E8" s="268"/>
      <c r="F8" s="1142"/>
      <c r="G8" s="1110"/>
      <c r="H8" s="1110"/>
      <c r="I8" s="1110"/>
      <c r="J8" s="1132"/>
      <c r="K8" s="1120"/>
      <c r="L8" s="1134"/>
      <c r="M8" s="31"/>
      <c r="N8" s="1142"/>
      <c r="O8" s="1110"/>
      <c r="P8" s="1110"/>
      <c r="Q8" s="1132"/>
      <c r="R8" s="1120"/>
      <c r="S8" s="1134"/>
      <c r="T8" s="152"/>
      <c r="U8" s="444">
        <v>2010</v>
      </c>
      <c r="V8" s="60" t="s">
        <v>561</v>
      </c>
      <c r="W8" s="1146"/>
    </row>
    <row r="9" spans="1:23" ht="19.5" customHeight="1" thickBot="1" thickTop="1">
      <c r="A9" s="582">
        <v>1</v>
      </c>
      <c r="B9" s="28" t="s">
        <v>450</v>
      </c>
      <c r="C9" s="11"/>
      <c r="D9" s="406"/>
      <c r="E9" s="406"/>
      <c r="F9" s="271"/>
      <c r="G9" s="407"/>
      <c r="H9" s="407">
        <f>H10</f>
        <v>250</v>
      </c>
      <c r="I9" s="407"/>
      <c r="J9" s="407"/>
      <c r="K9" s="274">
        <f>SUM(F9:J9)</f>
        <v>250</v>
      </c>
      <c r="L9" s="275">
        <f>+L10</f>
        <v>252</v>
      </c>
      <c r="M9" s="684" t="e">
        <f>M10+#REF!+#REF!</f>
        <v>#REF!</v>
      </c>
      <c r="N9" s="271"/>
      <c r="O9" s="407"/>
      <c r="P9" s="407"/>
      <c r="Q9" s="407"/>
      <c r="R9" s="274">
        <f>SUM(N9:Q9)</f>
        <v>0</v>
      </c>
      <c r="S9" s="275">
        <f>+S10</f>
        <v>0</v>
      </c>
      <c r="T9" s="684" t="e">
        <f>T10+#REF!+#REF!</f>
        <v>#REF!</v>
      </c>
      <c r="U9" s="685">
        <f>+K9+R9</f>
        <v>250</v>
      </c>
      <c r="V9" s="274">
        <f>+L9+S9</f>
        <v>252</v>
      </c>
      <c r="W9" s="275">
        <f aca="true" t="shared" si="0" ref="W9:W14">+V9/U9*100</f>
        <v>100.8</v>
      </c>
    </row>
    <row r="10" spans="1:23" ht="19.5" customHeight="1" thickTop="1">
      <c r="A10" s="171">
        <f>A9+1</f>
        <v>2</v>
      </c>
      <c r="B10" s="379">
        <v>1</v>
      </c>
      <c r="C10" s="681" t="s">
        <v>90</v>
      </c>
      <c r="D10" s="486"/>
      <c r="E10" s="486"/>
      <c r="F10" s="447"/>
      <c r="G10" s="382"/>
      <c r="H10" s="382">
        <f>H11</f>
        <v>250</v>
      </c>
      <c r="I10" s="382"/>
      <c r="J10" s="382"/>
      <c r="K10" s="384">
        <f>SUM(F10:J10)</f>
        <v>250</v>
      </c>
      <c r="L10" s="386">
        <f>+L11</f>
        <v>252</v>
      </c>
      <c r="M10" s="298"/>
      <c r="N10" s="682"/>
      <c r="O10" s="382"/>
      <c r="P10" s="583"/>
      <c r="Q10" s="382"/>
      <c r="R10" s="384">
        <f>SUM(N10:Q10)</f>
        <v>0</v>
      </c>
      <c r="S10" s="386">
        <f>+S11</f>
        <v>0</v>
      </c>
      <c r="T10" s="466"/>
      <c r="U10" s="683">
        <f>+K10+R10</f>
        <v>250</v>
      </c>
      <c r="V10" s="384">
        <f>+L10+S10</f>
        <v>252</v>
      </c>
      <c r="W10" s="386">
        <f t="shared" si="0"/>
        <v>100.8</v>
      </c>
    </row>
    <row r="11" spans="1:23" ht="19.5" customHeight="1">
      <c r="A11" s="172">
        <f>A10+1</f>
        <v>3</v>
      </c>
      <c r="B11" s="462"/>
      <c r="C11" s="463" t="s">
        <v>9</v>
      </c>
      <c r="D11" s="390" t="s">
        <v>10</v>
      </c>
      <c r="E11" s="464"/>
      <c r="F11" s="465"/>
      <c r="G11" s="284"/>
      <c r="H11" s="284">
        <f>SUM(H12:H14)</f>
        <v>250</v>
      </c>
      <c r="I11" s="284"/>
      <c r="J11" s="284"/>
      <c r="K11" s="189">
        <f>SUM(K12:K14)</f>
        <v>250</v>
      </c>
      <c r="L11" s="282">
        <f>SUM(L12:L14)</f>
        <v>252</v>
      </c>
      <c r="M11" s="303"/>
      <c r="N11" s="283"/>
      <c r="O11" s="284"/>
      <c r="P11" s="284"/>
      <c r="Q11" s="284"/>
      <c r="R11" s="189">
        <f>SUM(R12:R14)</f>
        <v>0</v>
      </c>
      <c r="S11" s="282">
        <f>SUM(S12:S14)</f>
        <v>0</v>
      </c>
      <c r="T11" s="466"/>
      <c r="U11" s="465">
        <f>SUM(U12:U14)</f>
        <v>250</v>
      </c>
      <c r="V11" s="286">
        <f>+L11+S11</f>
        <v>252</v>
      </c>
      <c r="W11" s="287">
        <f t="shared" si="0"/>
        <v>100.8</v>
      </c>
    </row>
    <row r="12" spans="1:23" ht="19.5" customHeight="1">
      <c r="A12" s="467">
        <f>A11+1</f>
        <v>4</v>
      </c>
      <c r="B12" s="301"/>
      <c r="C12" s="190"/>
      <c r="D12" s="191" t="s">
        <v>21</v>
      </c>
      <c r="E12" s="288" t="s">
        <v>475</v>
      </c>
      <c r="F12" s="295"/>
      <c r="G12" s="193"/>
      <c r="H12" s="468">
        <v>6.6</v>
      </c>
      <c r="I12" s="193"/>
      <c r="J12" s="193"/>
      <c r="K12" s="235">
        <f>SUM(G12:J12)</f>
        <v>6.6</v>
      </c>
      <c r="L12" s="439">
        <v>6.9</v>
      </c>
      <c r="M12" s="298"/>
      <c r="N12" s="295"/>
      <c r="O12" s="193"/>
      <c r="P12" s="193"/>
      <c r="Q12" s="193"/>
      <c r="R12" s="235">
        <f>SUM(N12:Q12)</f>
        <v>0</v>
      </c>
      <c r="S12" s="439">
        <v>0</v>
      </c>
      <c r="T12" s="298"/>
      <c r="U12" s="446">
        <f>+K12+R12</f>
        <v>6.6</v>
      </c>
      <c r="V12" s="199">
        <f>+L12+S12</f>
        <v>6.9</v>
      </c>
      <c r="W12" s="351">
        <f t="shared" si="0"/>
        <v>104.54545454545456</v>
      </c>
    </row>
    <row r="13" spans="1:23" ht="19.5" customHeight="1">
      <c r="A13" s="467">
        <f>A12+1</f>
        <v>5</v>
      </c>
      <c r="B13" s="301"/>
      <c r="C13" s="190"/>
      <c r="D13" s="377">
        <f>D12+1</f>
        <v>2</v>
      </c>
      <c r="E13" s="288" t="s">
        <v>38</v>
      </c>
      <c r="F13" s="295"/>
      <c r="G13" s="193"/>
      <c r="H13" s="468">
        <v>108.4</v>
      </c>
      <c r="I13" s="193"/>
      <c r="J13" s="193"/>
      <c r="K13" s="235">
        <f>SUM(G13:J13)</f>
        <v>108.4</v>
      </c>
      <c r="L13" s="440">
        <v>106.2</v>
      </c>
      <c r="M13" s="469"/>
      <c r="N13" s="295"/>
      <c r="O13" s="193"/>
      <c r="P13" s="193"/>
      <c r="Q13" s="193"/>
      <c r="R13" s="235">
        <f>SUM(N13:Q13)</f>
        <v>0</v>
      </c>
      <c r="S13" s="440">
        <v>0</v>
      </c>
      <c r="T13" s="470"/>
      <c r="U13" s="446">
        <f>+K13+R13</f>
        <v>108.4</v>
      </c>
      <c r="V13" s="199">
        <f>+L13+S13</f>
        <v>106.2</v>
      </c>
      <c r="W13" s="351">
        <f t="shared" si="0"/>
        <v>97.97047970479704</v>
      </c>
    </row>
    <row r="14" spans="1:23" ht="19.5" customHeight="1" thickBot="1">
      <c r="A14" s="471">
        <f>A13+1</f>
        <v>6</v>
      </c>
      <c r="B14" s="472"/>
      <c r="C14" s="216"/>
      <c r="D14" s="401">
        <f>D13+1</f>
        <v>3</v>
      </c>
      <c r="E14" s="473" t="s">
        <v>537</v>
      </c>
      <c r="F14" s="324"/>
      <c r="G14" s="219"/>
      <c r="H14" s="474">
        <v>135</v>
      </c>
      <c r="I14" s="219"/>
      <c r="J14" s="219"/>
      <c r="K14" s="236">
        <f>SUM(G14:J14)</f>
        <v>135</v>
      </c>
      <c r="L14" s="454">
        <v>138.9</v>
      </c>
      <c r="M14" s="475"/>
      <c r="N14" s="324"/>
      <c r="O14" s="219"/>
      <c r="P14" s="219"/>
      <c r="Q14" s="219"/>
      <c r="R14" s="236">
        <f>SUM(N14:Q14)</f>
        <v>0</v>
      </c>
      <c r="S14" s="454">
        <v>0</v>
      </c>
      <c r="T14" s="476"/>
      <c r="U14" s="448">
        <f>+K14+R14</f>
        <v>135</v>
      </c>
      <c r="V14" s="223">
        <f>+L14+S14</f>
        <v>138.9</v>
      </c>
      <c r="W14" s="405">
        <f t="shared" si="0"/>
        <v>102.8888888888889</v>
      </c>
    </row>
    <row r="15" spans="3:21" ht="12.75"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</sheetData>
  <sheetProtection/>
  <mergeCells count="19">
    <mergeCell ref="R7:R8"/>
    <mergeCell ref="L7:L8"/>
    <mergeCell ref="O7:O8"/>
    <mergeCell ref="P7:P8"/>
    <mergeCell ref="Q7:Q8"/>
    <mergeCell ref="I7:I8"/>
    <mergeCell ref="J7:J8"/>
    <mergeCell ref="N7:N8"/>
    <mergeCell ref="K7:K8"/>
    <mergeCell ref="W7:W8"/>
    <mergeCell ref="A4:L4"/>
    <mergeCell ref="F6:L6"/>
    <mergeCell ref="F5:L5"/>
    <mergeCell ref="N5:S5"/>
    <mergeCell ref="N6:S6"/>
    <mergeCell ref="F7:F8"/>
    <mergeCell ref="G7:G8"/>
    <mergeCell ref="H7:H8"/>
    <mergeCell ref="S7:S8"/>
  </mergeCells>
  <printOptions horizontalCentered="1"/>
  <pageMargins left="0.15748031496062992" right="0.11811023622047245" top="1.35" bottom="0.984251968503937" header="0.71" footer="0.5118110236220472"/>
  <pageSetup horizontalDpi="600" verticalDpi="600" orientation="landscape" paperSize="9" scale="90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48" customWidth="1"/>
    <col min="2" max="2" width="3.421875" style="149" customWidth="1"/>
    <col min="3" max="3" width="7.28125" style="150" customWidth="1"/>
    <col min="4" max="4" width="2.28125" style="150" customWidth="1"/>
    <col min="5" max="5" width="42.8515625" style="150" customWidth="1"/>
    <col min="6" max="6" width="3.7109375" style="150" customWidth="1"/>
    <col min="7" max="7" width="4.00390625" style="150" customWidth="1"/>
    <col min="8" max="8" width="4.421875" style="150" customWidth="1"/>
    <col min="9" max="10" width="7.8515625" style="150" customWidth="1"/>
    <col min="11" max="11" width="8.7109375" style="150" customWidth="1"/>
    <col min="12" max="12" width="0.71875" style="150" customWidth="1"/>
    <col min="13" max="15" width="4.00390625" style="150" customWidth="1"/>
    <col min="16" max="16" width="5.00390625" style="150" customWidth="1"/>
    <col min="17" max="17" width="6.00390625" style="150" customWidth="1"/>
    <col min="18" max="18" width="6.421875" style="150" customWidth="1"/>
    <col min="19" max="19" width="1.7109375" style="152" customWidth="1"/>
    <col min="20" max="20" width="10.7109375" style="150" customWidth="1"/>
    <col min="21" max="16384" width="9.140625" style="150" customWidth="1"/>
  </cols>
  <sheetData>
    <row r="1" ht="12.75">
      <c r="K1" s="151"/>
    </row>
    <row r="2" spans="2:20" ht="18.75">
      <c r="B2" s="249" t="s">
        <v>160</v>
      </c>
      <c r="T2" s="153"/>
    </row>
    <row r="3" ht="13.5" thickBot="1"/>
    <row r="4" spans="1:22" ht="13.5" customHeight="1">
      <c r="A4" s="1167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7"/>
      <c r="M4" s="1172"/>
      <c r="N4" s="1173"/>
      <c r="O4" s="1173"/>
      <c r="P4" s="1173"/>
      <c r="Q4" s="1173"/>
      <c r="R4" s="1174"/>
      <c r="S4" s="482"/>
      <c r="T4" s="346"/>
      <c r="U4" s="239"/>
      <c r="V4" s="240"/>
    </row>
    <row r="5" spans="1:22" ht="18.75" customHeight="1">
      <c r="A5" s="483"/>
      <c r="B5" s="1168" t="s">
        <v>30</v>
      </c>
      <c r="C5" s="1169"/>
      <c r="D5" s="1169"/>
      <c r="E5" s="1169"/>
      <c r="F5" s="1169"/>
      <c r="G5" s="1169"/>
      <c r="H5" s="1169"/>
      <c r="I5" s="1169"/>
      <c r="J5" s="1169"/>
      <c r="K5" s="1169"/>
      <c r="L5" s="1170"/>
      <c r="M5" s="1164" t="s">
        <v>29</v>
      </c>
      <c r="N5" s="1165"/>
      <c r="O5" s="1165"/>
      <c r="P5" s="1165"/>
      <c r="Q5" s="1165"/>
      <c r="R5" s="1166"/>
      <c r="S5" s="484"/>
      <c r="T5" s="59" t="s">
        <v>31</v>
      </c>
      <c r="U5" s="60" t="s">
        <v>558</v>
      </c>
      <c r="V5" s="59" t="s">
        <v>558</v>
      </c>
    </row>
    <row r="6" spans="1:22" ht="12.75">
      <c r="A6" s="483"/>
      <c r="B6" s="438" t="s">
        <v>65</v>
      </c>
      <c r="C6" s="167" t="s">
        <v>27</v>
      </c>
      <c r="D6" s="1111" t="s">
        <v>28</v>
      </c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44"/>
      <c r="S6" s="481"/>
      <c r="T6" s="59"/>
      <c r="U6" s="60" t="s">
        <v>559</v>
      </c>
      <c r="V6" s="59" t="s">
        <v>559</v>
      </c>
    </row>
    <row r="7" spans="1:22" ht="12.75">
      <c r="A7" s="483"/>
      <c r="B7" s="519" t="s">
        <v>66</v>
      </c>
      <c r="C7" s="520" t="s">
        <v>64</v>
      </c>
      <c r="D7" s="267"/>
      <c r="E7" s="419" t="s">
        <v>20</v>
      </c>
      <c r="F7" s="1130">
        <v>610</v>
      </c>
      <c r="G7" s="1110">
        <v>620</v>
      </c>
      <c r="H7" s="1130">
        <v>630</v>
      </c>
      <c r="I7" s="1132">
        <v>640</v>
      </c>
      <c r="J7" s="1120" t="s">
        <v>562</v>
      </c>
      <c r="K7" s="1158" t="s">
        <v>558</v>
      </c>
      <c r="L7" s="31"/>
      <c r="M7" s="1142">
        <v>711</v>
      </c>
      <c r="N7" s="1110">
        <v>714</v>
      </c>
      <c r="O7" s="1110">
        <v>716</v>
      </c>
      <c r="P7" s="1132">
        <v>717</v>
      </c>
      <c r="Q7" s="1120" t="s">
        <v>562</v>
      </c>
      <c r="R7" s="1158" t="s">
        <v>558</v>
      </c>
      <c r="S7" s="481"/>
      <c r="T7" s="59" t="s">
        <v>49</v>
      </c>
      <c r="U7" s="60" t="s">
        <v>49</v>
      </c>
      <c r="V7" s="1118" t="s">
        <v>560</v>
      </c>
    </row>
    <row r="8" spans="1:22" ht="13.5" thickBot="1">
      <c r="A8" s="483"/>
      <c r="B8" s="521"/>
      <c r="C8" s="522"/>
      <c r="D8" s="421"/>
      <c r="E8" s="422"/>
      <c r="F8" s="1171"/>
      <c r="G8" s="1163"/>
      <c r="H8" s="1171"/>
      <c r="I8" s="1160"/>
      <c r="J8" s="1161"/>
      <c r="K8" s="1159"/>
      <c r="L8" s="523"/>
      <c r="M8" s="1162"/>
      <c r="N8" s="1163"/>
      <c r="O8" s="1163"/>
      <c r="P8" s="1160"/>
      <c r="Q8" s="1161"/>
      <c r="R8" s="1159"/>
      <c r="S8" s="524"/>
      <c r="T8" s="525">
        <v>2010</v>
      </c>
      <c r="U8" s="526" t="s">
        <v>561</v>
      </c>
      <c r="V8" s="1157"/>
    </row>
    <row r="9" spans="1:22" ht="21.75" customHeight="1" thickBot="1" thickTop="1">
      <c r="A9" s="171">
        <v>1</v>
      </c>
      <c r="B9" s="28" t="s">
        <v>449</v>
      </c>
      <c r="C9" s="11"/>
      <c r="D9" s="406"/>
      <c r="E9" s="485"/>
      <c r="F9" s="493"/>
      <c r="G9" s="494"/>
      <c r="H9" s="494"/>
      <c r="I9" s="495">
        <f>I10</f>
        <v>15.9</v>
      </c>
      <c r="J9" s="274">
        <f>SUM(E9:I9)</f>
        <v>15.9</v>
      </c>
      <c r="K9" s="275">
        <f>+K10</f>
        <v>13.3</v>
      </c>
      <c r="L9" s="535"/>
      <c r="M9" s="496"/>
      <c r="N9" s="494"/>
      <c r="O9" s="494"/>
      <c r="P9" s="495"/>
      <c r="Q9" s="274">
        <f>SUM(M9:P9)</f>
        <v>0</v>
      </c>
      <c r="R9" s="275">
        <f>+R10</f>
        <v>0</v>
      </c>
      <c r="S9" s="536"/>
      <c r="T9" s="497">
        <f>+J9+Q9</f>
        <v>15.9</v>
      </c>
      <c r="U9" s="498">
        <f>+K9+R9</f>
        <v>13.3</v>
      </c>
      <c r="V9" s="498">
        <f>+U9/T9*100</f>
        <v>83.64779874213836</v>
      </c>
    </row>
    <row r="10" spans="1:22" ht="21.75" customHeight="1" thickTop="1">
      <c r="A10" s="172">
        <f>A9+1</f>
        <v>2</v>
      </c>
      <c r="B10" s="379">
        <v>1</v>
      </c>
      <c r="C10" s="527" t="s">
        <v>91</v>
      </c>
      <c r="D10" s="486"/>
      <c r="E10" s="528"/>
      <c r="F10" s="529"/>
      <c r="G10" s="529"/>
      <c r="H10" s="529"/>
      <c r="I10" s="530">
        <f>I11</f>
        <v>15.9</v>
      </c>
      <c r="J10" s="384">
        <f>SUM(E10:I10)</f>
        <v>15.9</v>
      </c>
      <c r="K10" s="386">
        <f>+K11</f>
        <v>13.3</v>
      </c>
      <c r="L10" s="499"/>
      <c r="M10" s="531"/>
      <c r="N10" s="529"/>
      <c r="O10" s="529"/>
      <c r="P10" s="532"/>
      <c r="Q10" s="384">
        <f>SUM(M10:P10)</f>
        <v>0</v>
      </c>
      <c r="R10" s="386">
        <f>+R11</f>
        <v>0</v>
      </c>
      <c r="S10" s="500"/>
      <c r="T10" s="533">
        <f>+J10+Q10</f>
        <v>15.9</v>
      </c>
      <c r="U10" s="534">
        <f>+K10+R10</f>
        <v>13.3</v>
      </c>
      <c r="V10" s="534">
        <f>+U10/T10*100</f>
        <v>83.64779874213836</v>
      </c>
    </row>
    <row r="11" spans="1:22" ht="21.75" customHeight="1">
      <c r="A11" s="172">
        <f>A10+1</f>
        <v>3</v>
      </c>
      <c r="B11" s="487"/>
      <c r="C11" s="488" t="s">
        <v>102</v>
      </c>
      <c r="D11" s="183" t="s">
        <v>103</v>
      </c>
      <c r="E11" s="489"/>
      <c r="F11" s="501"/>
      <c r="G11" s="501"/>
      <c r="H11" s="501"/>
      <c r="I11" s="502">
        <f>SUM(I12:I12)</f>
        <v>15.9</v>
      </c>
      <c r="J11" s="189">
        <f>SUM(J12:J14)</f>
        <v>15.9</v>
      </c>
      <c r="K11" s="282">
        <f>SUM(K12:K14)</f>
        <v>13.3</v>
      </c>
      <c r="L11" s="503"/>
      <c r="M11" s="504"/>
      <c r="N11" s="505"/>
      <c r="O11" s="505"/>
      <c r="P11" s="506"/>
      <c r="Q11" s="189">
        <f>SUM(Q12:Q14)</f>
        <v>0</v>
      </c>
      <c r="R11" s="282">
        <f>SUM(R12:R14)</f>
        <v>0</v>
      </c>
      <c r="S11" s="507"/>
      <c r="T11" s="508">
        <f>+T12</f>
        <v>15.9</v>
      </c>
      <c r="U11" s="509">
        <f>+U12</f>
        <v>13.3</v>
      </c>
      <c r="V11" s="509">
        <f>+U11/T11*100</f>
        <v>83.64779874213836</v>
      </c>
    </row>
    <row r="12" spans="1:22" ht="21.75" customHeight="1" thickBot="1">
      <c r="A12" s="214">
        <f>A11+1</f>
        <v>4</v>
      </c>
      <c r="B12" s="490"/>
      <c r="C12" s="491"/>
      <c r="D12" s="320" t="s">
        <v>21</v>
      </c>
      <c r="E12" s="492" t="s">
        <v>457</v>
      </c>
      <c r="F12" s="510"/>
      <c r="G12" s="510"/>
      <c r="H12" s="510"/>
      <c r="I12" s="511">
        <v>15.9</v>
      </c>
      <c r="J12" s="236">
        <f>SUM(F12:I12)</f>
        <v>15.9</v>
      </c>
      <c r="K12" s="834">
        <v>13.3</v>
      </c>
      <c r="L12" s="512"/>
      <c r="M12" s="513"/>
      <c r="N12" s="514"/>
      <c r="O12" s="514"/>
      <c r="P12" s="515"/>
      <c r="Q12" s="236">
        <f>SUM(M12:P12)</f>
        <v>0</v>
      </c>
      <c r="R12" s="834">
        <v>0</v>
      </c>
      <c r="S12" s="516"/>
      <c r="T12" s="517">
        <f>+J12+Q12</f>
        <v>15.9</v>
      </c>
      <c r="U12" s="518">
        <f>+K12+R12</f>
        <v>13.3</v>
      </c>
      <c r="V12" s="518">
        <f>+U12/T12*100</f>
        <v>83.64779874213836</v>
      </c>
    </row>
  </sheetData>
  <sheetProtection/>
  <mergeCells count="18">
    <mergeCell ref="M5:R5"/>
    <mergeCell ref="A4:L4"/>
    <mergeCell ref="D6:R6"/>
    <mergeCell ref="B5:L5"/>
    <mergeCell ref="K7:K8"/>
    <mergeCell ref="F7:F8"/>
    <mergeCell ref="G7:G8"/>
    <mergeCell ref="M4:R4"/>
    <mergeCell ref="O7:O8"/>
    <mergeCell ref="H7:H8"/>
    <mergeCell ref="V7:V8"/>
    <mergeCell ref="R7:R8"/>
    <mergeCell ref="I7:I8"/>
    <mergeCell ref="J7:J8"/>
    <mergeCell ref="Q7:Q8"/>
    <mergeCell ref="P7:P8"/>
    <mergeCell ref="M7:M8"/>
    <mergeCell ref="N7:N8"/>
  </mergeCells>
  <printOptions horizontalCentered="1"/>
  <pageMargins left="0.31" right="0.31" top="1.27" bottom="0.984251968503937" header="0.7" footer="0.5118110236220472"/>
  <pageSetup horizontalDpi="600" verticalDpi="600" orientation="landscape" paperSize="9" scale="89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zoomScale="115" zoomScaleNormal="115" zoomScalePageLayoutView="0" workbookViewId="0" topLeftCell="A4">
      <selection activeCell="L12" sqref="L12"/>
    </sheetView>
  </sheetViews>
  <sheetFormatPr defaultColWidth="9.140625" defaultRowHeight="12.75"/>
  <cols>
    <col min="1" max="1" width="2.7109375" style="148" customWidth="1"/>
    <col min="2" max="2" width="3.421875" style="149" customWidth="1"/>
    <col min="3" max="3" width="7.28125" style="150" customWidth="1"/>
    <col min="4" max="4" width="2.28125" style="150" customWidth="1"/>
    <col min="5" max="5" width="41.140625" style="150" customWidth="1"/>
    <col min="6" max="7" width="4.7109375" style="150" customWidth="1"/>
    <col min="8" max="8" width="7.421875" style="150" customWidth="1"/>
    <col min="9" max="9" width="4.140625" style="150" customWidth="1"/>
    <col min="10" max="10" width="4.57421875" style="150" customWidth="1"/>
    <col min="11" max="11" width="6.00390625" style="150" bestFit="1" customWidth="1"/>
    <col min="12" max="12" width="7.421875" style="150" customWidth="1"/>
    <col min="13" max="13" width="1.28515625" style="152" customWidth="1"/>
    <col min="14" max="14" width="5.00390625" style="150" customWidth="1"/>
    <col min="15" max="15" width="3.8515625" style="150" customWidth="1"/>
    <col min="16" max="16" width="4.00390625" style="150" customWidth="1"/>
    <col min="17" max="17" width="6.8515625" style="150" customWidth="1"/>
    <col min="18" max="18" width="5.8515625" style="150" customWidth="1"/>
    <col min="19" max="19" width="9.00390625" style="150" customWidth="1"/>
    <col min="20" max="20" width="1.421875" style="152" customWidth="1"/>
    <col min="21" max="16384" width="9.140625" style="150" customWidth="1"/>
  </cols>
  <sheetData>
    <row r="1" spans="12:21" ht="12.75">
      <c r="L1" s="151"/>
      <c r="S1" s="153"/>
      <c r="U1" s="153"/>
    </row>
    <row r="2" spans="2:19" ht="18.75">
      <c r="B2" s="249" t="s">
        <v>159</v>
      </c>
      <c r="S2" s="153"/>
    </row>
    <row r="3" ht="13.5" thickBot="1"/>
    <row r="4" spans="1:23" ht="18.75" customHeight="1">
      <c r="A4" s="1167" t="s">
        <v>497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78"/>
      <c r="N4" s="1149"/>
      <c r="O4" s="1149"/>
      <c r="P4" s="1149"/>
      <c r="Q4" s="1149"/>
      <c r="R4" s="1149"/>
      <c r="S4" s="1150"/>
      <c r="T4" s="540"/>
      <c r="U4" s="256"/>
      <c r="V4" s="239"/>
      <c r="W4" s="240"/>
    </row>
    <row r="5" spans="1:23" ht="18.75" customHeight="1">
      <c r="A5" s="161"/>
      <c r="B5" s="1179" t="s">
        <v>30</v>
      </c>
      <c r="C5" s="1180"/>
      <c r="D5" s="1181"/>
      <c r="E5" s="1181"/>
      <c r="F5" s="1181"/>
      <c r="G5" s="1181"/>
      <c r="H5" s="1181"/>
      <c r="I5" s="1181"/>
      <c r="J5" s="1181"/>
      <c r="K5" s="1182"/>
      <c r="L5" s="1182"/>
      <c r="M5" s="541"/>
      <c r="N5" s="1129" t="s">
        <v>29</v>
      </c>
      <c r="O5" s="1129"/>
      <c r="P5" s="1129"/>
      <c r="Q5" s="1129"/>
      <c r="R5" s="1129"/>
      <c r="S5" s="1183"/>
      <c r="T5" s="262"/>
      <c r="U5" s="60" t="s">
        <v>31</v>
      </c>
      <c r="V5" s="60" t="s">
        <v>558</v>
      </c>
      <c r="W5" s="59" t="s">
        <v>558</v>
      </c>
    </row>
    <row r="6" spans="1:23" ht="13.5" thickBot="1">
      <c r="A6" s="165"/>
      <c r="B6" s="147" t="s">
        <v>65</v>
      </c>
      <c r="C6" s="167" t="s">
        <v>27</v>
      </c>
      <c r="D6" s="1122" t="s">
        <v>28</v>
      </c>
      <c r="E6" s="1181"/>
      <c r="F6" s="1181"/>
      <c r="G6" s="1181"/>
      <c r="H6" s="1181"/>
      <c r="I6" s="1181"/>
      <c r="J6" s="1181"/>
      <c r="K6" s="1182"/>
      <c r="L6" s="1182"/>
      <c r="M6" s="53"/>
      <c r="N6" s="1122"/>
      <c r="O6" s="1175"/>
      <c r="P6" s="1175"/>
      <c r="Q6" s="1175"/>
      <c r="R6" s="1176"/>
      <c r="S6" s="1177"/>
      <c r="T6" s="31"/>
      <c r="U6" s="60"/>
      <c r="V6" s="60" t="s">
        <v>559</v>
      </c>
      <c r="W6" s="59" t="s">
        <v>559</v>
      </c>
    </row>
    <row r="7" spans="1:23" ht="12.75">
      <c r="A7" s="165"/>
      <c r="B7" s="145" t="s">
        <v>66</v>
      </c>
      <c r="C7" s="169" t="s">
        <v>64</v>
      </c>
      <c r="D7" s="543"/>
      <c r="E7" s="544" t="s">
        <v>20</v>
      </c>
      <c r="F7" s="1106">
        <v>610</v>
      </c>
      <c r="G7" s="1106">
        <v>620</v>
      </c>
      <c r="H7" s="1106">
        <v>630</v>
      </c>
      <c r="I7" s="1106">
        <v>640</v>
      </c>
      <c r="J7" s="1106">
        <v>650</v>
      </c>
      <c r="K7" s="1119" t="s">
        <v>562</v>
      </c>
      <c r="L7" s="1133" t="s">
        <v>558</v>
      </c>
      <c r="M7" s="53"/>
      <c r="N7" s="1122">
        <v>711</v>
      </c>
      <c r="O7" s="1106">
        <v>714</v>
      </c>
      <c r="P7" s="1106">
        <v>716</v>
      </c>
      <c r="Q7" s="1106">
        <v>717</v>
      </c>
      <c r="R7" s="1119" t="s">
        <v>562</v>
      </c>
      <c r="S7" s="1133" t="s">
        <v>558</v>
      </c>
      <c r="T7" s="31"/>
      <c r="U7" s="60" t="s">
        <v>49</v>
      </c>
      <c r="V7" s="60" t="s">
        <v>49</v>
      </c>
      <c r="W7" s="1118" t="s">
        <v>560</v>
      </c>
    </row>
    <row r="8" spans="1:23" ht="13.5" thickBot="1">
      <c r="A8" s="165"/>
      <c r="B8" s="145"/>
      <c r="C8" s="169"/>
      <c r="D8" s="263"/>
      <c r="E8" s="653"/>
      <c r="F8" s="1107"/>
      <c r="G8" s="1107"/>
      <c r="H8" s="1107"/>
      <c r="I8" s="1107"/>
      <c r="J8" s="1107"/>
      <c r="K8" s="1120"/>
      <c r="L8" s="1134"/>
      <c r="M8" s="53"/>
      <c r="N8" s="1123"/>
      <c r="O8" s="1107"/>
      <c r="P8" s="1107"/>
      <c r="Q8" s="1107"/>
      <c r="R8" s="1120"/>
      <c r="S8" s="1134"/>
      <c r="T8" s="31"/>
      <c r="U8" s="60">
        <v>2010</v>
      </c>
      <c r="V8" s="60" t="s">
        <v>561</v>
      </c>
      <c r="W8" s="1118"/>
    </row>
    <row r="9" spans="1:23" ht="19.5" customHeight="1" thickBot="1" thickTop="1">
      <c r="A9" s="582">
        <v>1</v>
      </c>
      <c r="B9" s="678" t="s">
        <v>448</v>
      </c>
      <c r="C9" s="679"/>
      <c r="D9" s="655"/>
      <c r="E9" s="655"/>
      <c r="F9" s="494"/>
      <c r="G9" s="494"/>
      <c r="H9" s="494">
        <f>H10</f>
        <v>50</v>
      </c>
      <c r="I9" s="494"/>
      <c r="J9" s="494"/>
      <c r="K9" s="274">
        <f>SUM(F9:J9)</f>
        <v>50</v>
      </c>
      <c r="L9" s="275">
        <f>L10+L16</f>
        <v>52.3</v>
      </c>
      <c r="M9" s="680">
        <f>M10</f>
        <v>0</v>
      </c>
      <c r="N9" s="493"/>
      <c r="O9" s="494"/>
      <c r="P9" s="494"/>
      <c r="Q9" s="494">
        <f>Q10</f>
        <v>7.5</v>
      </c>
      <c r="R9" s="274">
        <f>SUM(N9:Q9)</f>
        <v>7.5</v>
      </c>
      <c r="S9" s="275">
        <f>S10+S16</f>
        <v>0</v>
      </c>
      <c r="T9" s="535">
        <f>T10</f>
        <v>0</v>
      </c>
      <c r="U9" s="498">
        <f>+K9+R9</f>
        <v>57.5</v>
      </c>
      <c r="V9" s="497">
        <f>+L9+S9</f>
        <v>52.3</v>
      </c>
      <c r="W9" s="497">
        <f>+V9/U9*100</f>
        <v>90.95652173913042</v>
      </c>
    </row>
    <row r="10" spans="1:23" ht="19.5" customHeight="1" thickTop="1">
      <c r="A10" s="171">
        <f aca="true" t="shared" si="0" ref="A10:A17">A9+1</f>
        <v>2</v>
      </c>
      <c r="B10" s="379">
        <v>1</v>
      </c>
      <c r="C10" s="380" t="s">
        <v>60</v>
      </c>
      <c r="D10" s="381"/>
      <c r="E10" s="381"/>
      <c r="F10" s="673"/>
      <c r="G10" s="673"/>
      <c r="H10" s="673">
        <f>H11</f>
        <v>50</v>
      </c>
      <c r="I10" s="673"/>
      <c r="J10" s="673"/>
      <c r="K10" s="384">
        <f>SUM(F10:J10)</f>
        <v>50</v>
      </c>
      <c r="L10" s="386">
        <f>+L11</f>
        <v>52.3</v>
      </c>
      <c r="M10" s="674"/>
      <c r="N10" s="675"/>
      <c r="O10" s="673"/>
      <c r="P10" s="673"/>
      <c r="Q10" s="673">
        <f>Q11</f>
        <v>7.5</v>
      </c>
      <c r="R10" s="384">
        <f>SUM(N10:Q10)</f>
        <v>7.5</v>
      </c>
      <c r="S10" s="386">
        <f>+S11</f>
        <v>0</v>
      </c>
      <c r="T10" s="499"/>
      <c r="U10" s="676">
        <f>+K10+R10</f>
        <v>57.5</v>
      </c>
      <c r="V10" s="677">
        <f>+L10+S10</f>
        <v>52.3</v>
      </c>
      <c r="W10" s="677">
        <f>+V10/U10*100</f>
        <v>90.95652173913042</v>
      </c>
    </row>
    <row r="11" spans="1:23" ht="19.5" customHeight="1">
      <c r="A11" s="172">
        <f t="shared" si="0"/>
        <v>3</v>
      </c>
      <c r="B11" s="388"/>
      <c r="C11" s="389" t="s">
        <v>102</v>
      </c>
      <c r="D11" s="390" t="s">
        <v>103</v>
      </c>
      <c r="E11" s="545"/>
      <c r="F11" s="505"/>
      <c r="G11" s="505"/>
      <c r="H11" s="506">
        <f>SUM(H12:H17)</f>
        <v>50</v>
      </c>
      <c r="I11" s="505"/>
      <c r="J11" s="505"/>
      <c r="K11" s="189">
        <f>SUM(K12:K17)</f>
        <v>50</v>
      </c>
      <c r="L11" s="282">
        <f>SUM(L12:L15)</f>
        <v>52.3</v>
      </c>
      <c r="M11" s="546"/>
      <c r="N11" s="501"/>
      <c r="O11" s="505"/>
      <c r="P11" s="505"/>
      <c r="Q11" s="506">
        <f>SUM(Q12:Q17)</f>
        <v>7.5</v>
      </c>
      <c r="R11" s="189">
        <f>SUM(R12:R17)</f>
        <v>7.5</v>
      </c>
      <c r="S11" s="282">
        <f>SUM(S12:S15)</f>
        <v>0</v>
      </c>
      <c r="T11" s="503"/>
      <c r="U11" s="509">
        <f>SUM(U12:U17)</f>
        <v>57.5</v>
      </c>
      <c r="V11" s="508">
        <f>SUM(V12:V17)</f>
        <v>0</v>
      </c>
      <c r="W11" s="508">
        <f>+V11/U11*100</f>
        <v>0</v>
      </c>
    </row>
    <row r="12" spans="1:23" s="555" customFormat="1" ht="19.5" customHeight="1">
      <c r="A12" s="172">
        <f t="shared" si="0"/>
        <v>4</v>
      </c>
      <c r="B12" s="388"/>
      <c r="C12" s="547"/>
      <c r="D12" s="548">
        <v>1</v>
      </c>
      <c r="E12" s="548" t="s">
        <v>48</v>
      </c>
      <c r="F12" s="549"/>
      <c r="G12" s="549"/>
      <c r="H12" s="549">
        <v>50</v>
      </c>
      <c r="I12" s="549"/>
      <c r="J12" s="549"/>
      <c r="K12" s="235">
        <f aca="true" t="shared" si="1" ref="K12:K17">SUM(F12:J12)</f>
        <v>50</v>
      </c>
      <c r="L12" s="833">
        <v>52.3</v>
      </c>
      <c r="M12" s="550"/>
      <c r="N12" s="551"/>
      <c r="O12" s="549"/>
      <c r="P12" s="549"/>
      <c r="Q12" s="549"/>
      <c r="R12" s="235">
        <f aca="true" t="shared" si="2" ref="R12:R17">SUM(N12:Q12)</f>
        <v>0</v>
      </c>
      <c r="S12" s="833">
        <v>0</v>
      </c>
      <c r="T12" s="552"/>
      <c r="U12" s="553">
        <f aca="true" t="shared" si="3" ref="U12:U17">+K12+R12</f>
        <v>50</v>
      </c>
      <c r="V12" s="554">
        <f aca="true" t="shared" si="4" ref="V12:V17">M12+T12</f>
        <v>0</v>
      </c>
      <c r="W12" s="554">
        <f>+V12/U12*100</f>
        <v>0</v>
      </c>
    </row>
    <row r="13" spans="1:23" s="555" customFormat="1" ht="19.5" customHeight="1">
      <c r="A13" s="172">
        <f t="shared" si="0"/>
        <v>5</v>
      </c>
      <c r="B13" s="388"/>
      <c r="C13" s="556"/>
      <c r="D13" s="377">
        <f>D12+1</f>
        <v>2</v>
      </c>
      <c r="E13" s="548" t="s">
        <v>502</v>
      </c>
      <c r="F13" s="549"/>
      <c r="G13" s="549"/>
      <c r="H13" s="549"/>
      <c r="I13" s="549"/>
      <c r="J13" s="549"/>
      <c r="K13" s="235">
        <f t="shared" si="1"/>
        <v>0</v>
      </c>
      <c r="L13" s="833">
        <v>0</v>
      </c>
      <c r="M13" s="550"/>
      <c r="N13" s="551"/>
      <c r="O13" s="549"/>
      <c r="P13" s="549"/>
      <c r="Q13" s="549"/>
      <c r="R13" s="235">
        <f t="shared" si="2"/>
        <v>0</v>
      </c>
      <c r="S13" s="833">
        <f>SUM(N13:Q13)</f>
        <v>0</v>
      </c>
      <c r="T13" s="552"/>
      <c r="U13" s="553">
        <f t="shared" si="3"/>
        <v>0</v>
      </c>
      <c r="V13" s="554">
        <f t="shared" si="4"/>
        <v>0</v>
      </c>
      <c r="W13" s="554">
        <v>0</v>
      </c>
    </row>
    <row r="14" spans="1:23" s="555" customFormat="1" ht="19.5" customHeight="1">
      <c r="A14" s="172">
        <f t="shared" si="0"/>
        <v>6</v>
      </c>
      <c r="B14" s="181"/>
      <c r="C14" s="557"/>
      <c r="D14" s="377">
        <f>D13+1</f>
        <v>3</v>
      </c>
      <c r="E14" s="357" t="s">
        <v>503</v>
      </c>
      <c r="F14" s="558"/>
      <c r="G14" s="558"/>
      <c r="H14" s="558"/>
      <c r="I14" s="558"/>
      <c r="J14" s="558"/>
      <c r="K14" s="235">
        <f t="shared" si="1"/>
        <v>0</v>
      </c>
      <c r="L14" s="833">
        <v>0</v>
      </c>
      <c r="M14" s="559"/>
      <c r="N14" s="560"/>
      <c r="O14" s="558"/>
      <c r="P14" s="558"/>
      <c r="Q14" s="207">
        <v>7.5</v>
      </c>
      <c r="R14" s="235">
        <f t="shared" si="2"/>
        <v>7.5</v>
      </c>
      <c r="S14" s="833">
        <v>0</v>
      </c>
      <c r="T14" s="561"/>
      <c r="U14" s="553">
        <f t="shared" si="3"/>
        <v>7.5</v>
      </c>
      <c r="V14" s="554">
        <f t="shared" si="4"/>
        <v>0</v>
      </c>
      <c r="W14" s="554">
        <f>+V14/U14*100</f>
        <v>0</v>
      </c>
    </row>
    <row r="15" spans="1:23" s="555" customFormat="1" ht="19.5" customHeight="1">
      <c r="A15" s="172">
        <f t="shared" si="0"/>
        <v>7</v>
      </c>
      <c r="B15" s="181"/>
      <c r="C15" s="557"/>
      <c r="D15" s="377">
        <f>D14+1</f>
        <v>4</v>
      </c>
      <c r="E15" s="357" t="s">
        <v>505</v>
      </c>
      <c r="F15" s="558"/>
      <c r="G15" s="558"/>
      <c r="H15" s="558"/>
      <c r="I15" s="558"/>
      <c r="J15" s="558"/>
      <c r="K15" s="235">
        <f t="shared" si="1"/>
        <v>0</v>
      </c>
      <c r="L15" s="833">
        <v>0</v>
      </c>
      <c r="M15" s="559"/>
      <c r="N15" s="560"/>
      <c r="O15" s="558"/>
      <c r="P15" s="558"/>
      <c r="Q15" s="558"/>
      <c r="R15" s="235">
        <f t="shared" si="2"/>
        <v>0</v>
      </c>
      <c r="S15" s="833">
        <v>0</v>
      </c>
      <c r="T15" s="561"/>
      <c r="U15" s="553">
        <f t="shared" si="3"/>
        <v>0</v>
      </c>
      <c r="V15" s="554">
        <f t="shared" si="4"/>
        <v>0</v>
      </c>
      <c r="W15" s="554">
        <v>0</v>
      </c>
    </row>
    <row r="16" spans="1:23" s="555" customFormat="1" ht="19.5" customHeight="1">
      <c r="A16" s="172">
        <f t="shared" si="0"/>
        <v>8</v>
      </c>
      <c r="B16" s="181"/>
      <c r="C16" s="557"/>
      <c r="D16" s="377">
        <f>D15+1</f>
        <v>5</v>
      </c>
      <c r="E16" s="357" t="s">
        <v>504</v>
      </c>
      <c r="F16" s="558"/>
      <c r="G16" s="558"/>
      <c r="H16" s="558"/>
      <c r="I16" s="558"/>
      <c r="J16" s="558"/>
      <c r="K16" s="235">
        <f t="shared" si="1"/>
        <v>0</v>
      </c>
      <c r="L16" s="833">
        <v>0</v>
      </c>
      <c r="M16" s="559"/>
      <c r="N16" s="560"/>
      <c r="O16" s="558"/>
      <c r="P16" s="558"/>
      <c r="Q16" s="558"/>
      <c r="R16" s="235">
        <f t="shared" si="2"/>
        <v>0</v>
      </c>
      <c r="S16" s="833">
        <f>SUM(N16:Q16)</f>
        <v>0</v>
      </c>
      <c r="T16" s="561"/>
      <c r="U16" s="553">
        <f t="shared" si="3"/>
        <v>0</v>
      </c>
      <c r="V16" s="554">
        <f t="shared" si="4"/>
        <v>0</v>
      </c>
      <c r="W16" s="554">
        <v>0</v>
      </c>
    </row>
    <row r="17" spans="1:23" s="555" customFormat="1" ht="19.5" customHeight="1" thickBot="1">
      <c r="A17" s="214">
        <f t="shared" si="0"/>
        <v>9</v>
      </c>
      <c r="B17" s="215"/>
      <c r="C17" s="562"/>
      <c r="D17" s="401">
        <f>D16+1</f>
        <v>6</v>
      </c>
      <c r="E17" s="402" t="s">
        <v>506</v>
      </c>
      <c r="F17" s="563"/>
      <c r="G17" s="563"/>
      <c r="H17" s="563"/>
      <c r="I17" s="563"/>
      <c r="J17" s="563"/>
      <c r="K17" s="236">
        <f t="shared" si="1"/>
        <v>0</v>
      </c>
      <c r="L17" s="834">
        <v>0</v>
      </c>
      <c r="M17" s="564"/>
      <c r="N17" s="565"/>
      <c r="O17" s="563"/>
      <c r="P17" s="563"/>
      <c r="Q17" s="563"/>
      <c r="R17" s="236">
        <f t="shared" si="2"/>
        <v>0</v>
      </c>
      <c r="S17" s="834">
        <f>SUM(N17:Q17)</f>
        <v>0</v>
      </c>
      <c r="T17" s="566"/>
      <c r="U17" s="567">
        <f t="shared" si="3"/>
        <v>0</v>
      </c>
      <c r="V17" s="568">
        <f t="shared" si="4"/>
        <v>0</v>
      </c>
      <c r="W17" s="568">
        <v>0</v>
      </c>
    </row>
    <row r="18" spans="3:8" ht="12.75">
      <c r="C18" s="246"/>
      <c r="E18" s="246"/>
      <c r="H18" s="246"/>
    </row>
    <row r="19" spans="3:9" ht="12.75">
      <c r="C19" s="152"/>
      <c r="D19" s="336"/>
      <c r="E19" s="337"/>
      <c r="F19" s="152"/>
      <c r="I19" s="153"/>
    </row>
    <row r="20" spans="3:21" ht="12.75">
      <c r="C20" s="152"/>
      <c r="D20" s="152"/>
      <c r="E20" s="152"/>
      <c r="F20" s="152"/>
      <c r="G20" s="250"/>
      <c r="H20" s="569"/>
      <c r="I20" s="569"/>
      <c r="J20" s="569"/>
      <c r="K20" s="569"/>
      <c r="L20" s="570"/>
      <c r="M20" s="247"/>
      <c r="N20" s="570"/>
      <c r="O20" s="570"/>
      <c r="P20" s="570"/>
      <c r="Q20" s="570"/>
      <c r="R20" s="570"/>
      <c r="S20" s="570"/>
      <c r="T20" s="247"/>
      <c r="U20" s="570"/>
    </row>
    <row r="21" spans="3:21" ht="12.75">
      <c r="C21" s="152"/>
      <c r="D21" s="336"/>
      <c r="E21" s="337"/>
      <c r="F21" s="152"/>
      <c r="G21" s="250"/>
      <c r="H21" s="250"/>
      <c r="I21" s="250"/>
      <c r="J21" s="250"/>
      <c r="K21" s="250"/>
      <c r="L21" s="250"/>
      <c r="N21" s="250"/>
      <c r="O21" s="250"/>
      <c r="P21" s="250"/>
      <c r="Q21" s="250"/>
      <c r="R21" s="250"/>
      <c r="S21" s="250"/>
      <c r="U21" s="250"/>
    </row>
    <row r="22" spans="3:21" ht="12.75">
      <c r="C22" s="152"/>
      <c r="D22" s="152"/>
      <c r="E22" s="152"/>
      <c r="F22" s="152"/>
      <c r="G22" s="250"/>
      <c r="H22" s="250"/>
      <c r="I22" s="250"/>
      <c r="J22" s="250"/>
      <c r="K22" s="250"/>
      <c r="L22" s="250"/>
      <c r="N22" s="250"/>
      <c r="O22" s="250"/>
      <c r="P22" s="250"/>
      <c r="Q22" s="250"/>
      <c r="R22" s="250"/>
      <c r="S22" s="250"/>
      <c r="U22" s="250"/>
    </row>
    <row r="23" spans="3:21" ht="12.75">
      <c r="C23" s="152"/>
      <c r="D23" s="152"/>
      <c r="E23" s="152"/>
      <c r="F23" s="152"/>
      <c r="G23" s="250"/>
      <c r="H23" s="250"/>
      <c r="I23" s="250"/>
      <c r="J23" s="250"/>
      <c r="K23" s="250"/>
      <c r="L23" s="250"/>
      <c r="N23" s="250"/>
      <c r="O23" s="250"/>
      <c r="P23" s="250"/>
      <c r="Q23" s="250"/>
      <c r="R23" s="250"/>
      <c r="S23" s="250"/>
      <c r="U23" s="250"/>
    </row>
    <row r="24" spans="6:21" ht="12.75">
      <c r="F24" s="250"/>
      <c r="G24" s="250"/>
      <c r="H24" s="250"/>
      <c r="I24" s="250"/>
      <c r="J24" s="250"/>
      <c r="K24" s="250"/>
      <c r="L24" s="250"/>
      <c r="N24" s="250"/>
      <c r="O24" s="250"/>
      <c r="P24" s="250"/>
      <c r="Q24" s="250"/>
      <c r="R24" s="250"/>
      <c r="S24" s="250"/>
      <c r="U24" s="250"/>
    </row>
    <row r="25" spans="6:21" ht="12.75">
      <c r="F25" s="250"/>
      <c r="G25" s="250"/>
      <c r="H25" s="250"/>
      <c r="I25" s="250"/>
      <c r="J25" s="250"/>
      <c r="K25" s="250"/>
      <c r="L25" s="250"/>
      <c r="N25" s="250"/>
      <c r="O25" s="250"/>
      <c r="P25" s="250"/>
      <c r="Q25" s="250"/>
      <c r="R25" s="250"/>
      <c r="S25" s="250"/>
      <c r="U25" s="250"/>
    </row>
    <row r="26" spans="6:21" ht="12.75">
      <c r="F26" s="250"/>
      <c r="G26" s="250"/>
      <c r="H26" s="250"/>
      <c r="I26" s="250"/>
      <c r="J26" s="250"/>
      <c r="K26" s="250"/>
      <c r="L26" s="250"/>
      <c r="N26" s="250"/>
      <c r="O26" s="250"/>
      <c r="P26" s="250"/>
      <c r="Q26" s="250"/>
      <c r="R26" s="250"/>
      <c r="S26" s="250"/>
      <c r="U26" s="250"/>
    </row>
  </sheetData>
  <sheetProtection/>
  <mergeCells count="19">
    <mergeCell ref="W7:W8"/>
    <mergeCell ref="G7:G8"/>
    <mergeCell ref="H7:H8"/>
    <mergeCell ref="I7:I8"/>
    <mergeCell ref="S7:S8"/>
    <mergeCell ref="P7:P8"/>
    <mergeCell ref="O7:O8"/>
    <mergeCell ref="Q7:Q8"/>
    <mergeCell ref="R7:R8"/>
    <mergeCell ref="N6:S6"/>
    <mergeCell ref="N7:N8"/>
    <mergeCell ref="A4:S4"/>
    <mergeCell ref="B5:L5"/>
    <mergeCell ref="D6:L6"/>
    <mergeCell ref="N5:S5"/>
    <mergeCell ref="L7:L8"/>
    <mergeCell ref="J7:J8"/>
    <mergeCell ref="F7:F8"/>
    <mergeCell ref="K7:K8"/>
  </mergeCells>
  <printOptions horizontalCentered="1"/>
  <pageMargins left="0.2755905511811024" right="0.15748031496062992" top="1.02" bottom="0.5118110236220472" header="0.5118110236220472" footer="0.31496062992125984"/>
  <pageSetup horizontalDpi="600" verticalDpi="600" orientation="landscape" paperSize="9" scale="88" r:id="rId3"/>
  <headerFooter alignWithMargins="0">
    <oddHeader>&amp;CPlnenie programového rozpočtu mesta Svidník v roku  2010 (v tis. €)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vlcinov</cp:lastModifiedBy>
  <cp:lastPrinted>2011-03-24T13:03:52Z</cp:lastPrinted>
  <dcterms:created xsi:type="dcterms:W3CDTF">2006-06-21T07:20:26Z</dcterms:created>
  <dcterms:modified xsi:type="dcterms:W3CDTF">2011-05-23T12:12:38Z</dcterms:modified>
  <cp:category/>
  <cp:version/>
  <cp:contentType/>
  <cp:contentStatus/>
</cp:coreProperties>
</file>